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6" yWindow="240" windowWidth="11640" windowHeight="9612" tabRatio="900" activeTab="9"/>
  </bookViews>
  <sheets>
    <sheet name="club-ville" sheetId="73" r:id="rId1"/>
    <sheet name="Planning à 5" sheetId="246" r:id="rId2"/>
    <sheet name="Résultats à 5" sheetId="247" r:id="rId3"/>
    <sheet name="Planning à 6" sheetId="129" r:id="rId4"/>
    <sheet name="Résultats à 6" sheetId="130" r:id="rId5"/>
    <sheet name="Planning à 7" sheetId="222" r:id="rId6"/>
    <sheet name="Résultats à 7" sheetId="223" r:id="rId7"/>
    <sheet name="Planning à 4+4" sheetId="240" r:id="rId8"/>
    <sheet name="Résultats à 4+4" sheetId="242" r:id="rId9"/>
    <sheet name="Planning à 8" sheetId="249" r:id="rId10"/>
    <sheet name="Résultats à 8" sheetId="250" r:id="rId11"/>
  </sheets>
  <externalReferences>
    <externalReference r:id="rId12"/>
    <externalReference r:id="rId13"/>
  </externalReferences>
  <definedNames>
    <definedName name="club_Ville" localSheetId="5">'[1]club-ville'!$A$2:$B$84</definedName>
    <definedName name="EDJ_D1" localSheetId="3">#REF!</definedName>
    <definedName name="EDJ_D1" localSheetId="8">#REF!</definedName>
    <definedName name="EDJ_D1" localSheetId="2">#REF!</definedName>
    <definedName name="EDJ_D1" localSheetId="4">#REF!</definedName>
    <definedName name="EDJ_D1" localSheetId="10">#REF!</definedName>
    <definedName name="EDJ_D1">#REF!</definedName>
    <definedName name="edj_dr1m">#REF!</definedName>
    <definedName name="EDJ_DRA_Retour" localSheetId="3">#REF!,#REF!,#REF!</definedName>
    <definedName name="EDJ_DRA_Retour" localSheetId="8">#REF!,#REF!,#REF!</definedName>
    <definedName name="EDJ_DRA_Retour" localSheetId="2">#REF!,#REF!,#REF!</definedName>
    <definedName name="EDJ_DRA_Retour" localSheetId="4">#REF!,#REF!,#REF!</definedName>
    <definedName name="EDJ_DRA_Retour" localSheetId="10">#REF!,#REF!,#REF!</definedName>
    <definedName name="EDJ_DRA_Retour">#REF!,#REF!,#REF!</definedName>
    <definedName name="Eq_D1" localSheetId="3">#REF!</definedName>
    <definedName name="Eq_D1" localSheetId="8">#REF!</definedName>
    <definedName name="Eq_D1" localSheetId="2">#REF!</definedName>
    <definedName name="Eq_D1" localSheetId="4">#REF!</definedName>
    <definedName name="Eq_D1" localSheetId="10">#REF!</definedName>
    <definedName name="Eq_D1">#REF!</definedName>
    <definedName name="EQUIP" localSheetId="3">#REF!</definedName>
    <definedName name="EQUIP" localSheetId="8">#REF!</definedName>
    <definedName name="EQUIP" localSheetId="2">#REF!</definedName>
    <definedName name="EQUIP" localSheetId="4">#REF!</definedName>
    <definedName name="EQUIP" localSheetId="10">#REF!</definedName>
    <definedName name="EQUIP">#REF!</definedName>
    <definedName name="ts" localSheetId="3">#REF!</definedName>
    <definedName name="ts" localSheetId="8">#REF!</definedName>
    <definedName name="ts" localSheetId="2">#REF!</definedName>
    <definedName name="ts" localSheetId="4">#REF!</definedName>
    <definedName name="ts" localSheetId="10">#REF!</definedName>
    <definedName name="ts">#REF!</definedName>
    <definedName name="_xlnm.Print_Area" localSheetId="7">'Planning à 4+4'!$A$1:$G$114</definedName>
    <definedName name="_xlnm.Print_Area" localSheetId="1">'Planning à 5'!$A$1:$G$76</definedName>
    <definedName name="_xlnm.Print_Area" localSheetId="3">'Planning à 6'!$A$1:$G$88</definedName>
    <definedName name="_xlnm.Print_Area" localSheetId="5">'Planning à 7'!$A$1:$G$108</definedName>
    <definedName name="_xlnm.Print_Area" localSheetId="9">'Planning à 8'!$A$1:$G$112</definedName>
    <definedName name="_xlnm.Print_Area" localSheetId="8">'Résultats à 4+4'!$A$3:$M$29</definedName>
    <definedName name="_xlnm.Print_Area" localSheetId="2">'Résultats à 5'!$A$2:$N$16</definedName>
    <definedName name="_xlnm.Print_Area" localSheetId="4">'Résultats à 6'!$A$1:$P$17</definedName>
    <definedName name="_xlnm.Print_Area" localSheetId="6">'Résultats à 7'!$A$1:$R$19</definedName>
    <definedName name="_xlnm.Print_Area" localSheetId="10">'Résultats à 8'!$A$2:$T$22</definedName>
  </definedNames>
  <calcPr calcId="145621"/>
</workbook>
</file>

<file path=xl/calcChain.xml><?xml version="1.0" encoding="utf-8"?>
<calcChain xmlns="http://schemas.openxmlformats.org/spreadsheetml/2006/main">
  <c r="C39" i="250" l="1"/>
  <c r="C38" i="250"/>
  <c r="C37" i="250"/>
  <c r="C36" i="250"/>
  <c r="C35" i="250"/>
  <c r="C34" i="250"/>
  <c r="C33" i="250"/>
  <c r="C32" i="250"/>
  <c r="I28" i="250"/>
  <c r="H28" i="250"/>
  <c r="G28" i="250"/>
  <c r="F28" i="250"/>
  <c r="F85" i="249" s="1"/>
  <c r="E28" i="250"/>
  <c r="D28" i="250"/>
  <c r="C28" i="250"/>
  <c r="B28" i="250"/>
  <c r="F91" i="249" s="1"/>
  <c r="I20" i="250"/>
  <c r="I25" i="250"/>
  <c r="I19" i="250"/>
  <c r="H25" i="250"/>
  <c r="I21" i="250"/>
  <c r="G25" i="250"/>
  <c r="I18" i="250"/>
  <c r="F25" i="250"/>
  <c r="I16" i="250"/>
  <c r="E25" i="250"/>
  <c r="I15" i="250"/>
  <c r="D25" i="250"/>
  <c r="I17" i="250"/>
  <c r="C25" i="250"/>
  <c r="I14" i="250"/>
  <c r="B25" i="250"/>
  <c r="D14" i="250"/>
  <c r="D5" i="250"/>
  <c r="D15" i="250"/>
  <c r="D6" i="250"/>
  <c r="F6" i="250"/>
  <c r="D16" i="250"/>
  <c r="D7" i="250"/>
  <c r="F7" i="250"/>
  <c r="H7" i="250"/>
  <c r="D17" i="250"/>
  <c r="D8" i="250"/>
  <c r="F8" i="250"/>
  <c r="H8" i="250"/>
  <c r="J8" i="250"/>
  <c r="D18" i="250"/>
  <c r="D9" i="250"/>
  <c r="F9" i="250"/>
  <c r="H9" i="250"/>
  <c r="J9" i="250"/>
  <c r="L9" i="250"/>
  <c r="D19" i="250"/>
  <c r="D10" i="250"/>
  <c r="F10" i="250"/>
  <c r="H10" i="250"/>
  <c r="J10" i="250"/>
  <c r="L10" i="250"/>
  <c r="N10" i="250"/>
  <c r="D20" i="250"/>
  <c r="D11" i="250"/>
  <c r="F11" i="250"/>
  <c r="H11" i="250"/>
  <c r="J11" i="250"/>
  <c r="L11" i="250"/>
  <c r="N11" i="250"/>
  <c r="P11" i="250"/>
  <c r="D21" i="250"/>
  <c r="D22" i="250"/>
  <c r="C14" i="250"/>
  <c r="C5" i="250"/>
  <c r="C15" i="250"/>
  <c r="C6" i="250"/>
  <c r="E6" i="250"/>
  <c r="C16" i="250"/>
  <c r="C7" i="250"/>
  <c r="E7" i="250"/>
  <c r="G7" i="250"/>
  <c r="C17" i="250"/>
  <c r="C8" i="250"/>
  <c r="E8" i="250"/>
  <c r="G8" i="250"/>
  <c r="I8" i="250"/>
  <c r="C18" i="250"/>
  <c r="C9" i="250"/>
  <c r="E9" i="250"/>
  <c r="G9" i="250"/>
  <c r="I9" i="250"/>
  <c r="K9" i="250"/>
  <c r="C19" i="250"/>
  <c r="C10" i="250"/>
  <c r="E10" i="250"/>
  <c r="G10" i="250"/>
  <c r="I10" i="250"/>
  <c r="K10" i="250"/>
  <c r="M10" i="250"/>
  <c r="C20" i="250"/>
  <c r="C11" i="250"/>
  <c r="E11" i="250"/>
  <c r="G11" i="250"/>
  <c r="I11" i="250"/>
  <c r="K11" i="250"/>
  <c r="M11" i="250"/>
  <c r="O11" i="250"/>
  <c r="C21" i="250"/>
  <c r="C22" i="250"/>
  <c r="A11" i="250"/>
  <c r="A21" i="250"/>
  <c r="K21" i="250"/>
  <c r="S11" i="250"/>
  <c r="T11" i="250"/>
  <c r="B21" i="250"/>
  <c r="E21" i="250"/>
  <c r="G21" i="250"/>
  <c r="S4" i="250"/>
  <c r="T4" i="250"/>
  <c r="B14" i="250"/>
  <c r="E14" i="250"/>
  <c r="G14" i="250"/>
  <c r="S5" i="250"/>
  <c r="T5" i="250"/>
  <c r="B15" i="250"/>
  <c r="E15" i="250"/>
  <c r="G15" i="250"/>
  <c r="S6" i="250"/>
  <c r="T6" i="250"/>
  <c r="B16" i="250"/>
  <c r="E16" i="250"/>
  <c r="G16" i="250"/>
  <c r="S7" i="250"/>
  <c r="T7" i="250"/>
  <c r="B17" i="250"/>
  <c r="E17" i="250"/>
  <c r="G17" i="250"/>
  <c r="S8" i="250"/>
  <c r="T8" i="250"/>
  <c r="B18" i="250"/>
  <c r="E18" i="250"/>
  <c r="G18" i="250"/>
  <c r="S9" i="250"/>
  <c r="T9" i="250"/>
  <c r="B19" i="250"/>
  <c r="E19" i="250"/>
  <c r="G19" i="250"/>
  <c r="S10" i="250"/>
  <c r="T10" i="250"/>
  <c r="B20" i="250"/>
  <c r="E20" i="250"/>
  <c r="G20" i="250"/>
  <c r="F21" i="250"/>
  <c r="A10" i="250"/>
  <c r="A20" i="250"/>
  <c r="K20" i="250"/>
  <c r="F20" i="250"/>
  <c r="A9" i="250"/>
  <c r="A19" i="250"/>
  <c r="K19" i="250"/>
  <c r="F19" i="250"/>
  <c r="A8" i="250"/>
  <c r="A18" i="250"/>
  <c r="K18" i="250"/>
  <c r="F18" i="250"/>
  <c r="A7" i="250"/>
  <c r="A17" i="250"/>
  <c r="K17" i="250"/>
  <c r="F17" i="250"/>
  <c r="A6" i="250"/>
  <c r="A16" i="250"/>
  <c r="K16" i="250"/>
  <c r="F16" i="250"/>
  <c r="A5" i="250"/>
  <c r="A15" i="250"/>
  <c r="K15" i="250"/>
  <c r="F15" i="250"/>
  <c r="A4" i="250"/>
  <c r="A14" i="250"/>
  <c r="K14" i="250"/>
  <c r="F14" i="250"/>
  <c r="Q3" i="250"/>
  <c r="O3" i="250"/>
  <c r="M3" i="250"/>
  <c r="K3" i="250"/>
  <c r="I3" i="250"/>
  <c r="G3" i="250"/>
  <c r="E3" i="250"/>
  <c r="C3" i="250"/>
  <c r="C93" i="249"/>
  <c r="B93" i="249"/>
  <c r="B92" i="249"/>
  <c r="G91" i="249"/>
  <c r="F90" i="249"/>
  <c r="C90" i="249"/>
  <c r="B90" i="249"/>
  <c r="B89" i="249"/>
  <c r="G88" i="249"/>
  <c r="F88" i="249"/>
  <c r="F87" i="249"/>
  <c r="C87" i="249"/>
  <c r="B87" i="249"/>
  <c r="B86" i="249"/>
  <c r="G85" i="249"/>
  <c r="F84" i="249"/>
  <c r="C84" i="249"/>
  <c r="B84" i="249"/>
  <c r="B83" i="249"/>
  <c r="G82" i="249"/>
  <c r="F82" i="249"/>
  <c r="F81" i="249"/>
  <c r="C81" i="249"/>
  <c r="B81" i="249"/>
  <c r="B80" i="249"/>
  <c r="C72" i="249"/>
  <c r="C75" i="249"/>
  <c r="C78" i="249"/>
  <c r="G70" i="249"/>
  <c r="G73" i="249"/>
  <c r="G76" i="249"/>
  <c r="M79" i="249" s="1"/>
  <c r="G79" i="249"/>
  <c r="M76" i="249" s="1"/>
  <c r="F79" i="249"/>
  <c r="N78" i="249"/>
  <c r="M78" i="249"/>
  <c r="F69" i="249"/>
  <c r="F70" i="249"/>
  <c r="F72" i="249"/>
  <c r="J77" i="249" s="1"/>
  <c r="F73" i="249"/>
  <c r="F75" i="249"/>
  <c r="F76" i="249"/>
  <c r="F78" i="249"/>
  <c r="B71" i="249"/>
  <c r="B72" i="249"/>
  <c r="B74" i="249"/>
  <c r="B75" i="249"/>
  <c r="B77" i="249"/>
  <c r="B78" i="249"/>
  <c r="K78" i="249"/>
  <c r="N77" i="249"/>
  <c r="K77" i="249"/>
  <c r="N76" i="249"/>
  <c r="K76" i="249"/>
  <c r="N75" i="249"/>
  <c r="M75" i="249"/>
  <c r="K75" i="249"/>
  <c r="N74" i="249"/>
  <c r="K74" i="249"/>
  <c r="N73" i="249"/>
  <c r="K73" i="249"/>
  <c r="N72" i="249"/>
  <c r="K72" i="249"/>
  <c r="N71" i="249"/>
  <c r="M71" i="249"/>
  <c r="K71" i="249"/>
  <c r="E65" i="249"/>
  <c r="A65" i="249"/>
  <c r="E64" i="249"/>
  <c r="A64" i="249"/>
  <c r="E63" i="249"/>
  <c r="A63" i="249"/>
  <c r="E62" i="249"/>
  <c r="A62" i="249"/>
  <c r="G47" i="249"/>
  <c r="F47" i="249"/>
  <c r="F46" i="249"/>
  <c r="G44" i="249"/>
  <c r="F44" i="249"/>
  <c r="F43" i="249"/>
  <c r="G41" i="249"/>
  <c r="F41" i="249"/>
  <c r="F40" i="249"/>
  <c r="G38" i="249"/>
  <c r="F38" i="249"/>
  <c r="F37" i="249"/>
  <c r="C37" i="249"/>
  <c r="B37" i="249"/>
  <c r="B36" i="249"/>
  <c r="G35" i="249"/>
  <c r="F35" i="249"/>
  <c r="F34" i="249"/>
  <c r="C34" i="249"/>
  <c r="B34" i="249"/>
  <c r="B33" i="249"/>
  <c r="G32" i="249"/>
  <c r="F32" i="249"/>
  <c r="F31" i="249"/>
  <c r="C31" i="249"/>
  <c r="B31" i="249"/>
  <c r="B30" i="249"/>
  <c r="G29" i="249"/>
  <c r="F29" i="249"/>
  <c r="F28" i="249"/>
  <c r="C28" i="249"/>
  <c r="B28" i="249"/>
  <c r="B27" i="249"/>
  <c r="G26" i="249"/>
  <c r="F26" i="249"/>
  <c r="F25" i="249"/>
  <c r="C25" i="249"/>
  <c r="B25" i="249"/>
  <c r="B24" i="249"/>
  <c r="C16" i="249"/>
  <c r="C19" i="249"/>
  <c r="C22" i="249"/>
  <c r="G14" i="249"/>
  <c r="G17" i="249"/>
  <c r="G20" i="249"/>
  <c r="G23" i="249"/>
  <c r="M23" i="249"/>
  <c r="F23" i="249"/>
  <c r="N22" i="249"/>
  <c r="M22" i="249"/>
  <c r="F13" i="249"/>
  <c r="F14" i="249"/>
  <c r="F16" i="249"/>
  <c r="F17" i="249"/>
  <c r="F19" i="249"/>
  <c r="F20" i="249"/>
  <c r="F22" i="249"/>
  <c r="L22" i="249"/>
  <c r="B15" i="249"/>
  <c r="B16" i="249"/>
  <c r="B18" i="249"/>
  <c r="B19" i="249"/>
  <c r="B21" i="249"/>
  <c r="B22" i="249"/>
  <c r="K22" i="249"/>
  <c r="J22" i="249"/>
  <c r="N21" i="249"/>
  <c r="M21" i="249"/>
  <c r="L21" i="249"/>
  <c r="K21" i="249"/>
  <c r="J21" i="249"/>
  <c r="N20" i="249"/>
  <c r="M20" i="249"/>
  <c r="L20" i="249"/>
  <c r="K20" i="249"/>
  <c r="J20" i="249"/>
  <c r="N19" i="249"/>
  <c r="M19" i="249"/>
  <c r="L19" i="249"/>
  <c r="K19" i="249"/>
  <c r="J19" i="249"/>
  <c r="N18" i="249"/>
  <c r="M18" i="249"/>
  <c r="L18" i="249"/>
  <c r="K18" i="249"/>
  <c r="J18" i="249"/>
  <c r="N17" i="249"/>
  <c r="M17" i="249"/>
  <c r="L17" i="249"/>
  <c r="K17" i="249"/>
  <c r="J17" i="249"/>
  <c r="N16" i="249"/>
  <c r="M16" i="249"/>
  <c r="L16" i="249"/>
  <c r="K16" i="249"/>
  <c r="J16" i="249"/>
  <c r="N15" i="249"/>
  <c r="M15" i="249"/>
  <c r="L15" i="249"/>
  <c r="K15" i="249"/>
  <c r="J15" i="249"/>
  <c r="E9" i="249"/>
  <c r="A9" i="249"/>
  <c r="E8" i="249"/>
  <c r="A8" i="249"/>
  <c r="E7" i="249"/>
  <c r="A7" i="249"/>
  <c r="E6" i="249"/>
  <c r="A6" i="249"/>
  <c r="A4" i="223"/>
  <c r="A5" i="223"/>
  <c r="A6" i="223"/>
  <c r="A7" i="223"/>
  <c r="A8" i="223"/>
  <c r="A9" i="223"/>
  <c r="A3" i="223"/>
  <c r="G44" i="222"/>
  <c r="G41" i="222"/>
  <c r="G38" i="222"/>
  <c r="G35" i="222"/>
  <c r="G32" i="222"/>
  <c r="G29" i="222"/>
  <c r="G26" i="222"/>
  <c r="G23" i="222"/>
  <c r="G20" i="222"/>
  <c r="G17" i="222"/>
  <c r="C40" i="222"/>
  <c r="C37" i="222"/>
  <c r="C34" i="222"/>
  <c r="C31" i="222"/>
  <c r="C28" i="222"/>
  <c r="C25" i="222"/>
  <c r="C22" i="222"/>
  <c r="C19" i="222"/>
  <c r="F47" i="222"/>
  <c r="F46" i="222"/>
  <c r="F44" i="222"/>
  <c r="F43" i="222"/>
  <c r="F41" i="222"/>
  <c r="F40" i="222"/>
  <c r="F38" i="222"/>
  <c r="F37" i="222"/>
  <c r="F35" i="222"/>
  <c r="F34" i="222"/>
  <c r="F32" i="222"/>
  <c r="F31" i="222"/>
  <c r="F29" i="222"/>
  <c r="F28" i="222"/>
  <c r="F26" i="222"/>
  <c r="F25" i="222"/>
  <c r="F23" i="222"/>
  <c r="F22" i="222"/>
  <c r="F20" i="222"/>
  <c r="F19" i="222"/>
  <c r="F17" i="222"/>
  <c r="F16" i="222"/>
  <c r="F14" i="222"/>
  <c r="F13" i="222"/>
  <c r="B40" i="222"/>
  <c r="B39" i="222"/>
  <c r="B37" i="222"/>
  <c r="B36" i="222"/>
  <c r="B34" i="222"/>
  <c r="B33" i="222"/>
  <c r="B31" i="222"/>
  <c r="B30" i="222"/>
  <c r="B28" i="222"/>
  <c r="B27" i="222"/>
  <c r="B25" i="222"/>
  <c r="B24" i="222"/>
  <c r="B22" i="222"/>
  <c r="B21" i="222"/>
  <c r="B19" i="222"/>
  <c r="B18" i="222"/>
  <c r="B16" i="222"/>
  <c r="B15" i="222"/>
  <c r="N16" i="222"/>
  <c r="N17" i="222"/>
  <c r="N18" i="222"/>
  <c r="N19" i="222"/>
  <c r="N20" i="222"/>
  <c r="N21" i="222"/>
  <c r="N15" i="222"/>
  <c r="I30" i="247"/>
  <c r="I29" i="247"/>
  <c r="I28" i="247"/>
  <c r="I27" i="247"/>
  <c r="I26" i="247"/>
  <c r="I15" i="247"/>
  <c r="I14" i="247"/>
  <c r="I13" i="247"/>
  <c r="I12" i="247"/>
  <c r="I11" i="247"/>
  <c r="I51" i="246" s="1"/>
  <c r="N15" i="246"/>
  <c r="A7" i="246"/>
  <c r="N16" i="246"/>
  <c r="N17" i="246"/>
  <c r="E6" i="246"/>
  <c r="N18" i="246"/>
  <c r="E7" i="246"/>
  <c r="N14" i="246"/>
  <c r="D26" i="247"/>
  <c r="C26" i="247"/>
  <c r="J23" i="247"/>
  <c r="I23" i="247"/>
  <c r="H23" i="247"/>
  <c r="G23" i="247"/>
  <c r="F23" i="247"/>
  <c r="E23" i="247"/>
  <c r="C30" i="247" s="1"/>
  <c r="D23" i="247"/>
  <c r="C23" i="247"/>
  <c r="H22" i="247"/>
  <c r="G22" i="247"/>
  <c r="F22" i="247"/>
  <c r="E22" i="247"/>
  <c r="D22" i="247"/>
  <c r="C22" i="247"/>
  <c r="F21" i="247"/>
  <c r="E21" i="247"/>
  <c r="D21" i="247"/>
  <c r="D28" i="247" s="1"/>
  <c r="C21" i="247"/>
  <c r="D20" i="247"/>
  <c r="D27" i="247"/>
  <c r="C20" i="247"/>
  <c r="N20" i="247" s="1"/>
  <c r="N19" i="247"/>
  <c r="M19" i="247"/>
  <c r="D11" i="247"/>
  <c r="C11" i="247"/>
  <c r="J8" i="247"/>
  <c r="I8" i="247"/>
  <c r="H8" i="247"/>
  <c r="G8" i="247"/>
  <c r="F8" i="247"/>
  <c r="E8" i="247"/>
  <c r="D8" i="247"/>
  <c r="C8" i="247"/>
  <c r="A8" i="247"/>
  <c r="A23" i="247" s="1"/>
  <c r="H7" i="247"/>
  <c r="G7" i="247"/>
  <c r="F7" i="247"/>
  <c r="E7" i="247"/>
  <c r="D7" i="247"/>
  <c r="C7" i="247"/>
  <c r="F6" i="247"/>
  <c r="E6" i="247"/>
  <c r="D6" i="247"/>
  <c r="C6" i="247"/>
  <c r="D5" i="247"/>
  <c r="D12" i="247" s="1"/>
  <c r="C5" i="247"/>
  <c r="C12" i="247" s="1"/>
  <c r="N4" i="247"/>
  <c r="M4" i="247"/>
  <c r="A4" i="247"/>
  <c r="C3" i="247" s="1"/>
  <c r="B26" i="246"/>
  <c r="G25" i="246"/>
  <c r="C24" i="246"/>
  <c r="F22" i="246"/>
  <c r="F21" i="246"/>
  <c r="B18" i="246"/>
  <c r="A7" i="247"/>
  <c r="A14" i="247" s="1"/>
  <c r="B15" i="246"/>
  <c r="F18" i="246"/>
  <c r="G13" i="246"/>
  <c r="F13" i="246"/>
  <c r="D13" i="247"/>
  <c r="A15" i="247"/>
  <c r="C27" i="246"/>
  <c r="G16" i="246"/>
  <c r="F12" i="246"/>
  <c r="B17" i="246"/>
  <c r="B24" i="246"/>
  <c r="A11" i="247"/>
  <c r="A19" i="247"/>
  <c r="C18" i="247" s="1"/>
  <c r="A5" i="247"/>
  <c r="A12" i="247" s="1"/>
  <c r="F25" i="246"/>
  <c r="B23" i="246"/>
  <c r="G19" i="246"/>
  <c r="F15" i="246"/>
  <c r="C18" i="246"/>
  <c r="A6" i="247"/>
  <c r="A21" i="247" s="1"/>
  <c r="B27" i="246"/>
  <c r="F16" i="246"/>
  <c r="C15" i="246"/>
  <c r="A8" i="246"/>
  <c r="B20" i="246"/>
  <c r="A6" i="246"/>
  <c r="B14" i="246"/>
  <c r="F19" i="246"/>
  <c r="L16" i="246"/>
  <c r="B21" i="246"/>
  <c r="G22" i="246"/>
  <c r="F24" i="246"/>
  <c r="C21" i="246"/>
  <c r="M17" i="246"/>
  <c r="L14" i="246"/>
  <c r="L17" i="246"/>
  <c r="M14" i="246"/>
  <c r="M16" i="246"/>
  <c r="L15" i="246"/>
  <c r="K17" i="246"/>
  <c r="J14" i="246"/>
  <c r="J17" i="246"/>
  <c r="K14" i="246"/>
  <c r="M15" i="246"/>
  <c r="K15" i="246"/>
  <c r="K18" i="246"/>
  <c r="J15" i="246"/>
  <c r="J16" i="246"/>
  <c r="A20" i="247"/>
  <c r="A27" i="247" s="1"/>
  <c r="L18" i="246"/>
  <c r="K16" i="246"/>
  <c r="J18" i="246"/>
  <c r="M19" i="246"/>
  <c r="M18" i="246"/>
  <c r="A13" i="247"/>
  <c r="G3" i="247"/>
  <c r="I54" i="246"/>
  <c r="N54" i="246" s="1"/>
  <c r="E44" i="246" s="1"/>
  <c r="I52" i="246"/>
  <c r="N52" i="246" s="1"/>
  <c r="A45" i="246" s="1"/>
  <c r="I55" i="246"/>
  <c r="N55" i="246" s="1"/>
  <c r="I53" i="246"/>
  <c r="N53" i="246" s="1"/>
  <c r="A46" i="246" s="1"/>
  <c r="F62" i="246"/>
  <c r="C59" i="246"/>
  <c r="B55" i="246"/>
  <c r="G57" i="246"/>
  <c r="C56" i="246"/>
  <c r="B53" i="246"/>
  <c r="B61" i="246"/>
  <c r="F53" i="246"/>
  <c r="F63" i="246"/>
  <c r="F54" i="246"/>
  <c r="C31" i="223"/>
  <c r="N16" i="240"/>
  <c r="N17" i="240"/>
  <c r="A8" i="240"/>
  <c r="B34" i="240"/>
  <c r="A19" i="242"/>
  <c r="A25" i="242" s="1"/>
  <c r="K25" i="242" s="1"/>
  <c r="N20" i="240"/>
  <c r="E7" i="240"/>
  <c r="B24" i="240"/>
  <c r="N15" i="240"/>
  <c r="L19" i="242"/>
  <c r="M19" i="242"/>
  <c r="C25" i="242"/>
  <c r="D25" i="242"/>
  <c r="D20" i="242"/>
  <c r="D26" i="242" s="1"/>
  <c r="C20" i="242"/>
  <c r="D21" i="242"/>
  <c r="C21" i="242"/>
  <c r="C27" i="242" s="1"/>
  <c r="F21" i="242"/>
  <c r="E21" i="242"/>
  <c r="D22" i="242"/>
  <c r="C22" i="242"/>
  <c r="F22" i="242"/>
  <c r="E22" i="242"/>
  <c r="H22" i="242"/>
  <c r="G22" i="242"/>
  <c r="L57" i="242"/>
  <c r="M57" i="242"/>
  <c r="C58" i="242"/>
  <c r="C64" i="242" s="1"/>
  <c r="D58" i="242"/>
  <c r="D64" i="242" s="1"/>
  <c r="C59" i="242"/>
  <c r="D59" i="242"/>
  <c r="E59" i="242"/>
  <c r="F59" i="242"/>
  <c r="C60" i="242"/>
  <c r="D60" i="242"/>
  <c r="E60" i="242"/>
  <c r="F60" i="242"/>
  <c r="G60" i="242"/>
  <c r="H60" i="242"/>
  <c r="C63" i="242"/>
  <c r="D63" i="242"/>
  <c r="L70" i="242"/>
  <c r="M70" i="242"/>
  <c r="C71" i="242"/>
  <c r="C77" i="242" s="1"/>
  <c r="D71" i="242"/>
  <c r="D77" i="242" s="1"/>
  <c r="C72" i="242"/>
  <c r="D72" i="242"/>
  <c r="E72" i="242"/>
  <c r="F72" i="242"/>
  <c r="C73" i="242"/>
  <c r="D73" i="242"/>
  <c r="E73" i="242"/>
  <c r="F73" i="242"/>
  <c r="G73" i="242"/>
  <c r="H73" i="242"/>
  <c r="C76" i="242"/>
  <c r="D76" i="242"/>
  <c r="G72" i="240"/>
  <c r="C74" i="240"/>
  <c r="G99" i="240"/>
  <c r="L6" i="242"/>
  <c r="M6" i="242"/>
  <c r="B12" i="242" s="1"/>
  <c r="C12" i="242"/>
  <c r="D12" i="242"/>
  <c r="C7" i="242"/>
  <c r="D7" i="242"/>
  <c r="C8" i="242"/>
  <c r="D8" i="242"/>
  <c r="E8" i="242"/>
  <c r="F8" i="242"/>
  <c r="L8" i="242" s="1"/>
  <c r="C9" i="242"/>
  <c r="D9" i="242"/>
  <c r="E9" i="242"/>
  <c r="F9" i="242"/>
  <c r="G9" i="242"/>
  <c r="H9" i="242"/>
  <c r="G53" i="240"/>
  <c r="C37" i="240"/>
  <c r="C16" i="240"/>
  <c r="G14" i="240"/>
  <c r="F13" i="240"/>
  <c r="Q3" i="223"/>
  <c r="R3" i="223"/>
  <c r="C12" i="223"/>
  <c r="D12" i="223"/>
  <c r="E12" i="223"/>
  <c r="D4" i="223"/>
  <c r="Q4" i="223" s="1"/>
  <c r="C4" i="223"/>
  <c r="R4" i="223" s="1"/>
  <c r="D13" i="223"/>
  <c r="C13" i="223"/>
  <c r="E13" i="223" s="1"/>
  <c r="D5" i="223"/>
  <c r="C5" i="223"/>
  <c r="F5" i="223"/>
  <c r="E5" i="223"/>
  <c r="D6" i="223"/>
  <c r="C6" i="223"/>
  <c r="F6" i="223"/>
  <c r="E6" i="223"/>
  <c r="C15" i="223" s="1"/>
  <c r="H6" i="223"/>
  <c r="G6" i="223"/>
  <c r="D7" i="223"/>
  <c r="C7" i="223"/>
  <c r="F7" i="223"/>
  <c r="E7" i="223"/>
  <c r="H7" i="223"/>
  <c r="G7" i="223"/>
  <c r="J7" i="223"/>
  <c r="I7" i="223"/>
  <c r="D8" i="223"/>
  <c r="C8" i="223"/>
  <c r="F8" i="223"/>
  <c r="E8" i="223"/>
  <c r="H8" i="223"/>
  <c r="G8" i="223"/>
  <c r="J8" i="223"/>
  <c r="I8" i="223"/>
  <c r="L8" i="223"/>
  <c r="K8" i="223"/>
  <c r="D9" i="223"/>
  <c r="C9" i="223"/>
  <c r="F9" i="223"/>
  <c r="E9" i="223"/>
  <c r="Q9" i="223" s="1"/>
  <c r="B18" i="223" s="1"/>
  <c r="H9" i="223"/>
  <c r="G9" i="223"/>
  <c r="J9" i="223"/>
  <c r="I9" i="223"/>
  <c r="L9" i="223"/>
  <c r="K9" i="223"/>
  <c r="N9" i="223"/>
  <c r="M9" i="223"/>
  <c r="O3" i="130"/>
  <c r="B11" i="130" s="1"/>
  <c r="P3" i="130"/>
  <c r="C11" i="130"/>
  <c r="E11" i="130" s="1"/>
  <c r="D11" i="130"/>
  <c r="D4" i="130"/>
  <c r="D12" i="130" s="1"/>
  <c r="C4" i="130"/>
  <c r="C12" i="130" s="1"/>
  <c r="D5" i="130"/>
  <c r="C5" i="130"/>
  <c r="F5" i="130"/>
  <c r="E5" i="130"/>
  <c r="C13" i="130" s="1"/>
  <c r="D6" i="130"/>
  <c r="C6" i="130"/>
  <c r="F6" i="130"/>
  <c r="E6" i="130"/>
  <c r="O6" i="130" s="1"/>
  <c r="B14" i="130" s="1"/>
  <c r="H6" i="130"/>
  <c r="G6" i="130"/>
  <c r="P6" i="130"/>
  <c r="D7" i="130"/>
  <c r="C7" i="130"/>
  <c r="F7" i="130"/>
  <c r="E7" i="130"/>
  <c r="H7" i="130"/>
  <c r="G7" i="130"/>
  <c r="J7" i="130"/>
  <c r="I7" i="130"/>
  <c r="D8" i="130"/>
  <c r="C8" i="130"/>
  <c r="F8" i="130"/>
  <c r="E8" i="130"/>
  <c r="H8" i="130"/>
  <c r="G8" i="130"/>
  <c r="J8" i="130"/>
  <c r="I8" i="130"/>
  <c r="L8" i="130"/>
  <c r="K8" i="130"/>
  <c r="C30" i="129"/>
  <c r="A6" i="130"/>
  <c r="A23" i="130" s="1"/>
  <c r="G22" i="129"/>
  <c r="G2" i="223"/>
  <c r="D31" i="223"/>
  <c r="D23" i="223"/>
  <c r="D32" i="223" s="1"/>
  <c r="D24" i="223"/>
  <c r="R24" i="223" s="1"/>
  <c r="F24" i="223"/>
  <c r="D25" i="223"/>
  <c r="F25" i="223"/>
  <c r="H25" i="223"/>
  <c r="D26" i="223"/>
  <c r="F26" i="223"/>
  <c r="H26" i="223"/>
  <c r="J26" i="223"/>
  <c r="D27" i="223"/>
  <c r="F27" i="223"/>
  <c r="H27" i="223"/>
  <c r="J27" i="223"/>
  <c r="D36" i="223" s="1"/>
  <c r="L27" i="223"/>
  <c r="D28" i="223"/>
  <c r="F28" i="223"/>
  <c r="H28" i="223"/>
  <c r="J28" i="223"/>
  <c r="L28" i="223"/>
  <c r="N28" i="223"/>
  <c r="C23" i="223"/>
  <c r="C32" i="223" s="1"/>
  <c r="C24" i="223"/>
  <c r="E24" i="223"/>
  <c r="C25" i="223"/>
  <c r="E25" i="223"/>
  <c r="R25" i="223" s="1"/>
  <c r="G25" i="223"/>
  <c r="C26" i="223"/>
  <c r="E26" i="223"/>
  <c r="G26" i="223"/>
  <c r="Q26" i="223" s="1"/>
  <c r="I26" i="223"/>
  <c r="C27" i="223"/>
  <c r="E27" i="223"/>
  <c r="G27" i="223"/>
  <c r="C36" i="223" s="1"/>
  <c r="I27" i="223"/>
  <c r="K27" i="223"/>
  <c r="C28" i="223"/>
  <c r="E28" i="223"/>
  <c r="C37" i="223" s="1"/>
  <c r="G28" i="223"/>
  <c r="I28" i="223"/>
  <c r="K28" i="223"/>
  <c r="M28" i="223"/>
  <c r="Q22" i="223"/>
  <c r="R22" i="223"/>
  <c r="C70" i="222"/>
  <c r="G68" i="222"/>
  <c r="G47" i="222"/>
  <c r="C16" i="222"/>
  <c r="G14" i="222"/>
  <c r="E8" i="222"/>
  <c r="C15" i="129"/>
  <c r="G13" i="129"/>
  <c r="G37" i="129"/>
  <c r="O20" i="130"/>
  <c r="P20" i="130"/>
  <c r="C28" i="130"/>
  <c r="D28" i="130"/>
  <c r="C21" i="130"/>
  <c r="D21" i="130"/>
  <c r="D29" i="130"/>
  <c r="C22" i="130"/>
  <c r="D22" i="130"/>
  <c r="D30" i="130"/>
  <c r="E22" i="130"/>
  <c r="F22" i="130"/>
  <c r="C23" i="130"/>
  <c r="D23" i="130"/>
  <c r="E23" i="130"/>
  <c r="G23" i="130"/>
  <c r="F23" i="130"/>
  <c r="H23" i="130"/>
  <c r="C24" i="130"/>
  <c r="D24" i="130"/>
  <c r="E24" i="130"/>
  <c r="F24" i="130"/>
  <c r="G24" i="130"/>
  <c r="H24" i="130"/>
  <c r="I24" i="130"/>
  <c r="J24" i="130"/>
  <c r="C25" i="130"/>
  <c r="C33" i="130" s="1"/>
  <c r="D25" i="130"/>
  <c r="F25" i="130"/>
  <c r="E25" i="130"/>
  <c r="H25" i="130"/>
  <c r="G25" i="130"/>
  <c r="J25" i="130"/>
  <c r="I25" i="130"/>
  <c r="L25" i="130"/>
  <c r="K25" i="130"/>
  <c r="G81" i="129"/>
  <c r="C59" i="129"/>
  <c r="G57" i="129"/>
  <c r="O21" i="130"/>
  <c r="C29" i="130"/>
  <c r="P21" i="130"/>
  <c r="N17" i="129"/>
  <c r="E6" i="129"/>
  <c r="C24" i="129"/>
  <c r="B30" i="129"/>
  <c r="B18" i="129"/>
  <c r="F30" i="129"/>
  <c r="G25" i="129"/>
  <c r="F22" i="129"/>
  <c r="N21" i="240"/>
  <c r="E8" i="240"/>
  <c r="C33" i="223"/>
  <c r="R9" i="223"/>
  <c r="D17" i="223"/>
  <c r="R8" i="223"/>
  <c r="D16" i="223"/>
  <c r="R6" i="223"/>
  <c r="B12" i="223"/>
  <c r="G12" i="223"/>
  <c r="Q6" i="223"/>
  <c r="C14" i="223"/>
  <c r="C79" i="242"/>
  <c r="L20" i="242"/>
  <c r="L21" i="242"/>
  <c r="M58" i="242"/>
  <c r="E76" i="242"/>
  <c r="L22" i="242"/>
  <c r="C13" i="242"/>
  <c r="L58" i="242"/>
  <c r="B25" i="242"/>
  <c r="A6" i="240"/>
  <c r="D13" i="130"/>
  <c r="I2" i="130"/>
  <c r="N19" i="240"/>
  <c r="E6" i="240"/>
  <c r="F23" i="240"/>
  <c r="F19" i="129"/>
  <c r="F17" i="240"/>
  <c r="N22" i="240"/>
  <c r="N18" i="129"/>
  <c r="E7" i="129"/>
  <c r="A25" i="223"/>
  <c r="A9" i="222"/>
  <c r="F37" i="129"/>
  <c r="A3" i="130"/>
  <c r="C2" i="130" s="1"/>
  <c r="B23" i="129"/>
  <c r="N16" i="129"/>
  <c r="A8" i="129"/>
  <c r="A6" i="222"/>
  <c r="F19" i="240"/>
  <c r="A6" i="242"/>
  <c r="C5" i="242" s="1"/>
  <c r="F24" i="129"/>
  <c r="C2" i="223"/>
  <c r="A7" i="240"/>
  <c r="O2" i="223"/>
  <c r="A8" i="222"/>
  <c r="F16" i="240"/>
  <c r="B36" i="240"/>
  <c r="C31" i="240"/>
  <c r="B19" i="240"/>
  <c r="F25" i="129"/>
  <c r="A8" i="130"/>
  <c r="F31" i="129"/>
  <c r="B27" i="129"/>
  <c r="G34" i="129"/>
  <c r="F12" i="129"/>
  <c r="N19" i="129"/>
  <c r="E8" i="129"/>
  <c r="B21" i="129"/>
  <c r="C18" i="129"/>
  <c r="B15" i="129"/>
  <c r="N15" i="129"/>
  <c r="A7" i="129"/>
  <c r="A20" i="242"/>
  <c r="E18" i="242" s="1"/>
  <c r="G31" i="129"/>
  <c r="B20" i="129"/>
  <c r="F28" i="129"/>
  <c r="A7" i="130"/>
  <c r="F33" i="129"/>
  <c r="A7" i="242"/>
  <c r="E5" i="242" s="1"/>
  <c r="G20" i="240"/>
  <c r="B29" i="129"/>
  <c r="E2" i="223"/>
  <c r="B16" i="240"/>
  <c r="B33" i="240"/>
  <c r="F18" i="129"/>
  <c r="G28" i="129"/>
  <c r="B17" i="129"/>
  <c r="A5" i="130"/>
  <c r="F36" i="129"/>
  <c r="B37" i="240"/>
  <c r="B25" i="240"/>
  <c r="G17" i="240"/>
  <c r="A22" i="242"/>
  <c r="I18" i="242" s="1"/>
  <c r="F16" i="129"/>
  <c r="I2" i="223"/>
  <c r="B22" i="240"/>
  <c r="C28" i="240"/>
  <c r="F20" i="240"/>
  <c r="A9" i="242"/>
  <c r="I5" i="242" s="1"/>
  <c r="N18" i="240"/>
  <c r="E7" i="222"/>
  <c r="A27" i="223"/>
  <c r="A7" i="222"/>
  <c r="A9" i="240"/>
  <c r="A14" i="223"/>
  <c r="A24" i="223"/>
  <c r="A8" i="242"/>
  <c r="G5" i="242" s="1"/>
  <c r="F14" i="240"/>
  <c r="B21" i="240"/>
  <c r="C34" i="240"/>
  <c r="B28" i="240"/>
  <c r="F13" i="129"/>
  <c r="F34" i="129"/>
  <c r="B24" i="129"/>
  <c r="C27" i="129"/>
  <c r="A4" i="130"/>
  <c r="F21" i="129"/>
  <c r="E6" i="222"/>
  <c r="G16" i="129"/>
  <c r="B14" i="129"/>
  <c r="C21" i="129"/>
  <c r="G19" i="129"/>
  <c r="F15" i="129"/>
  <c r="F27" i="129"/>
  <c r="B26" i="129"/>
  <c r="N14" i="129"/>
  <c r="A6" i="129"/>
  <c r="B30" i="240"/>
  <c r="C25" i="240"/>
  <c r="B18" i="240"/>
  <c r="F22" i="240"/>
  <c r="C18" i="242"/>
  <c r="C19" i="240"/>
  <c r="A21" i="242"/>
  <c r="G23" i="240"/>
  <c r="B31" i="240"/>
  <c r="C22" i="240"/>
  <c r="B27" i="240"/>
  <c r="B15" i="240"/>
  <c r="O24" i="130"/>
  <c r="D32" i="130"/>
  <c r="C31" i="130"/>
  <c r="P23" i="130"/>
  <c r="D31" i="130"/>
  <c r="P25" i="130"/>
  <c r="O23" i="130"/>
  <c r="L71" i="242"/>
  <c r="M71" i="242"/>
  <c r="D65" i="242"/>
  <c r="E63" i="242"/>
  <c r="D27" i="242"/>
  <c r="M22" i="242"/>
  <c r="M20" i="242"/>
  <c r="C28" i="242"/>
  <c r="C26" i="242"/>
  <c r="C34" i="223"/>
  <c r="R27" i="223"/>
  <c r="D37" i="223"/>
  <c r="B31" i="223"/>
  <c r="D34" i="223"/>
  <c r="E31" i="223"/>
  <c r="G31" i="223" s="1"/>
  <c r="J15" i="222"/>
  <c r="J19" i="222"/>
  <c r="J16" i="222"/>
  <c r="J20" i="222"/>
  <c r="J17" i="222"/>
  <c r="J21" i="222"/>
  <c r="J18" i="222"/>
  <c r="B15" i="223"/>
  <c r="A20" i="130"/>
  <c r="A12" i="242"/>
  <c r="K12" i="242" s="1"/>
  <c r="K21" i="240"/>
  <c r="E9" i="240"/>
  <c r="A15" i="242"/>
  <c r="K15" i="242" s="1"/>
  <c r="A13" i="223"/>
  <c r="A28" i="223"/>
  <c r="A18" i="223"/>
  <c r="A16" i="130"/>
  <c r="A25" i="130"/>
  <c r="A33" i="130" s="1"/>
  <c r="A22" i="223"/>
  <c r="A12" i="223"/>
  <c r="A11" i="130"/>
  <c r="A15" i="223"/>
  <c r="A23" i="223"/>
  <c r="A32" i="223" s="1"/>
  <c r="G2" i="130"/>
  <c r="A13" i="130"/>
  <c r="A22" i="130"/>
  <c r="K15" i="240"/>
  <c r="M2" i="130"/>
  <c r="A26" i="242"/>
  <c r="K26" i="242" s="1"/>
  <c r="K2" i="130"/>
  <c r="A24" i="130"/>
  <c r="A32" i="130" s="1"/>
  <c r="A15" i="130"/>
  <c r="K17" i="240"/>
  <c r="M21" i="222"/>
  <c r="A28" i="242"/>
  <c r="K28" i="242" s="1"/>
  <c r="M18" i="222"/>
  <c r="C19" i="130"/>
  <c r="A28" i="130"/>
  <c r="A34" i="223"/>
  <c r="I21" i="223"/>
  <c r="M17" i="222"/>
  <c r="K19" i="240"/>
  <c r="M20" i="222"/>
  <c r="A17" i="223"/>
  <c r="M2" i="223"/>
  <c r="L16" i="222"/>
  <c r="L21" i="222"/>
  <c r="L15" i="222"/>
  <c r="L20" i="222"/>
  <c r="A21" i="130"/>
  <c r="A29" i="130" s="1"/>
  <c r="E2" i="130"/>
  <c r="A12" i="130"/>
  <c r="K22" i="240"/>
  <c r="K18" i="240"/>
  <c r="K16" i="240"/>
  <c r="K20" i="240"/>
  <c r="K16" i="129"/>
  <c r="K18" i="129"/>
  <c r="K19" i="129"/>
  <c r="K17" i="129"/>
  <c r="J19" i="129"/>
  <c r="K14" i="129"/>
  <c r="J16" i="129"/>
  <c r="J15" i="129"/>
  <c r="J17" i="129"/>
  <c r="J14" i="129"/>
  <c r="J18" i="129"/>
  <c r="K16" i="222"/>
  <c r="K17" i="222"/>
  <c r="K20" i="222"/>
  <c r="K15" i="222"/>
  <c r="K21" i="222"/>
  <c r="K18" i="222"/>
  <c r="K19" i="222"/>
  <c r="A27" i="242"/>
  <c r="K27" i="242" s="1"/>
  <c r="G18" i="242"/>
  <c r="M19" i="222"/>
  <c r="M22" i="222"/>
  <c r="M21" i="223"/>
  <c r="A36" i="223"/>
  <c r="M15" i="222"/>
  <c r="A33" i="223"/>
  <c r="G21" i="223"/>
  <c r="M16" i="222"/>
  <c r="L17" i="222"/>
  <c r="M17" i="129"/>
  <c r="M18" i="129"/>
  <c r="M20" i="129"/>
  <c r="M14" i="129"/>
  <c r="M15" i="129"/>
  <c r="M19" i="129"/>
  <c r="M16" i="129"/>
  <c r="L18" i="129"/>
  <c r="L17" i="129"/>
  <c r="L19" i="129"/>
  <c r="L14" i="129"/>
  <c r="L16" i="129"/>
  <c r="L15" i="129"/>
  <c r="L18" i="222"/>
  <c r="L19" i="222"/>
  <c r="A26" i="223"/>
  <c r="A35" i="223" s="1"/>
  <c r="A16" i="223"/>
  <c r="K2" i="223"/>
  <c r="K15" i="129"/>
  <c r="M19" i="130"/>
  <c r="E21" i="223"/>
  <c r="O21" i="223"/>
  <c r="A37" i="223"/>
  <c r="C21" i="223"/>
  <c r="A31" i="223"/>
  <c r="G19" i="130"/>
  <c r="A30" i="130"/>
  <c r="K19" i="130"/>
  <c r="K21" i="223"/>
  <c r="E19" i="130"/>
  <c r="I15" i="242"/>
  <c r="I35" i="242" s="1"/>
  <c r="F41" i="240" s="1"/>
  <c r="I12" i="242"/>
  <c r="B35" i="242" s="1"/>
  <c r="F31" i="240" s="1"/>
  <c r="G26" i="240" s="1"/>
  <c r="I14" i="242"/>
  <c r="E32" i="242" s="1"/>
  <c r="F29" i="240" s="1"/>
  <c r="G35" i="240" s="1"/>
  <c r="I13" i="242"/>
  <c r="B32" i="242" s="1"/>
  <c r="F25" i="240" s="1"/>
  <c r="I27" i="242"/>
  <c r="C32" i="242" s="1"/>
  <c r="F26" i="240" s="1"/>
  <c r="G32" i="240" s="1"/>
  <c r="I25" i="242"/>
  <c r="E35" i="242" s="1"/>
  <c r="F35" i="240" s="1"/>
  <c r="G29" i="240" s="1"/>
  <c r="I26" i="242"/>
  <c r="D32" i="242" s="1"/>
  <c r="F28" i="240" s="1"/>
  <c r="G41" i="240" s="1"/>
  <c r="I28" i="242"/>
  <c r="F35" i="242" s="1"/>
  <c r="F37" i="240" s="1"/>
  <c r="G38" i="242"/>
  <c r="F50" i="240" s="1"/>
  <c r="D35" i="242"/>
  <c r="F34" i="240" s="1"/>
  <c r="C35" i="242"/>
  <c r="B41" i="242"/>
  <c r="F52" i="240" s="1"/>
  <c r="G47" i="240" s="1"/>
  <c r="F38" i="242"/>
  <c r="F49" i="240" s="1"/>
  <c r="G44" i="240" s="1"/>
  <c r="G35" i="242"/>
  <c r="F38" i="240" s="1"/>
  <c r="C38" i="242"/>
  <c r="H35" i="242"/>
  <c r="C45" i="242"/>
  <c r="A57" i="242" s="1"/>
  <c r="C41" i="242"/>
  <c r="F53" i="240" s="1"/>
  <c r="F32" i="240"/>
  <c r="B38" i="242"/>
  <c r="F43" i="240" s="1"/>
  <c r="C52" i="242"/>
  <c r="A60" i="242" s="1"/>
  <c r="D38" i="242"/>
  <c r="F46" i="240" s="1"/>
  <c r="E38" i="242"/>
  <c r="F47" i="240" s="1"/>
  <c r="F40" i="240"/>
  <c r="F44" i="240"/>
  <c r="G50" i="240" s="1"/>
  <c r="C47" i="242"/>
  <c r="A71" i="242" s="1"/>
  <c r="C51" i="242"/>
  <c r="A73" i="242" s="1"/>
  <c r="C46" i="242"/>
  <c r="A70" i="242" s="1"/>
  <c r="C48" i="242"/>
  <c r="A58" i="242" s="1"/>
  <c r="I65" i="242"/>
  <c r="E83" i="242" s="1"/>
  <c r="F75" i="240" s="1"/>
  <c r="I63" i="242"/>
  <c r="B86" i="242" s="1"/>
  <c r="F80" i="240" s="1"/>
  <c r="B92" i="242"/>
  <c r="F98" i="240" s="1"/>
  <c r="G86" i="242"/>
  <c r="F84" i="240" s="1"/>
  <c r="C49" i="242"/>
  <c r="A59" i="242" s="1"/>
  <c r="I78" i="242"/>
  <c r="C83" i="242" s="1"/>
  <c r="F72" i="240" s="1"/>
  <c r="C50" i="242"/>
  <c r="A72" i="242" s="1"/>
  <c r="I66" i="242"/>
  <c r="I86" i="242" s="1"/>
  <c r="F87" i="240" s="1"/>
  <c r="G89" i="242"/>
  <c r="F96" i="240" s="1"/>
  <c r="I76" i="242"/>
  <c r="E86" i="242" s="1"/>
  <c r="F78" i="240" s="1"/>
  <c r="I77" i="242"/>
  <c r="D83" i="242" s="1"/>
  <c r="F74" i="240" s="1"/>
  <c r="H86" i="242"/>
  <c r="F86" i="240" s="1"/>
  <c r="F89" i="242"/>
  <c r="F95" i="240" s="1"/>
  <c r="I64" i="242"/>
  <c r="B83" i="242" s="1"/>
  <c r="F71" i="240" s="1"/>
  <c r="I79" i="242"/>
  <c r="F86" i="242" s="1"/>
  <c r="F83" i="240" s="1"/>
  <c r="C92" i="242"/>
  <c r="F99" i="240" s="1"/>
  <c r="C86" i="242"/>
  <c r="F81" i="240" s="1"/>
  <c r="C102" i="242"/>
  <c r="E89" i="242"/>
  <c r="F93" i="240" s="1"/>
  <c r="C103" i="242"/>
  <c r="D89" i="242"/>
  <c r="F92" i="240" s="1"/>
  <c r="D86" i="242"/>
  <c r="F77" i="240" s="1"/>
  <c r="C97" i="242"/>
  <c r="C96" i="242"/>
  <c r="C89" i="242"/>
  <c r="F90" i="240" s="1"/>
  <c r="C101" i="242"/>
  <c r="C100" i="242"/>
  <c r="B89" i="242"/>
  <c r="F89" i="240" s="1"/>
  <c r="C99" i="242"/>
  <c r="C98" i="242"/>
  <c r="L78" i="249" l="1"/>
  <c r="J78" i="249"/>
  <c r="L76" i="249"/>
  <c r="J74" i="249"/>
  <c r="L72" i="249"/>
  <c r="L73" i="249"/>
  <c r="M72" i="249"/>
  <c r="J75" i="249"/>
  <c r="L77" i="249"/>
  <c r="J72" i="249"/>
  <c r="M73" i="249"/>
  <c r="L74" i="249"/>
  <c r="J76" i="249"/>
  <c r="M77" i="249"/>
  <c r="J71" i="249"/>
  <c r="L71" i="249"/>
  <c r="J73" i="249"/>
  <c r="M74" i="249"/>
  <c r="L75" i="249"/>
  <c r="D79" i="242"/>
  <c r="E79" i="242" s="1"/>
  <c r="M72" i="242"/>
  <c r="L59" i="242"/>
  <c r="C66" i="242"/>
  <c r="M59" i="242"/>
  <c r="B63" i="242"/>
  <c r="L60" i="242"/>
  <c r="B76" i="242"/>
  <c r="C65" i="242"/>
  <c r="E65" i="242" s="1"/>
  <c r="B77" i="242"/>
  <c r="B64" i="242"/>
  <c r="C15" i="242"/>
  <c r="C14" i="242"/>
  <c r="D78" i="242"/>
  <c r="D66" i="242"/>
  <c r="L73" i="242"/>
  <c r="L72" i="242"/>
  <c r="B78" i="242" s="1"/>
  <c r="G78" i="242" s="1"/>
  <c r="G76" i="242"/>
  <c r="B28" i="242"/>
  <c r="D28" i="242"/>
  <c r="E28" i="242" s="1"/>
  <c r="M21" i="242"/>
  <c r="B27" i="242" s="1"/>
  <c r="E25" i="242"/>
  <c r="D67" i="242"/>
  <c r="A13" i="242"/>
  <c r="K13" i="242" s="1"/>
  <c r="B65" i="242"/>
  <c r="M60" i="242"/>
  <c r="B66" i="242" s="1"/>
  <c r="C78" i="242"/>
  <c r="E78" i="242" s="1"/>
  <c r="D14" i="242"/>
  <c r="M8" i="242"/>
  <c r="B14" i="242" s="1"/>
  <c r="B26" i="242"/>
  <c r="M73" i="242"/>
  <c r="B79" i="242" s="1"/>
  <c r="G79" i="242" s="1"/>
  <c r="G25" i="242"/>
  <c r="E66" i="242"/>
  <c r="E69" i="242"/>
  <c r="I78" i="240"/>
  <c r="C107" i="240" s="1"/>
  <c r="A77" i="242"/>
  <c r="K77" i="242" s="1"/>
  <c r="A76" i="242"/>
  <c r="K76" i="242" s="1"/>
  <c r="I77" i="240"/>
  <c r="C98" i="240" s="1"/>
  <c r="C69" i="242"/>
  <c r="A64" i="242"/>
  <c r="K64" i="242" s="1"/>
  <c r="I74" i="240"/>
  <c r="E56" i="242"/>
  <c r="A79" i="242"/>
  <c r="K79" i="242" s="1"/>
  <c r="I80" i="240"/>
  <c r="L80" i="240" s="1"/>
  <c r="I69" i="242"/>
  <c r="C56" i="242"/>
  <c r="I73" i="240"/>
  <c r="L73" i="240" s="1"/>
  <c r="A63" i="242"/>
  <c r="K63" i="242" s="1"/>
  <c r="L7" i="242"/>
  <c r="D80" i="242"/>
  <c r="G63" i="242"/>
  <c r="E14" i="242"/>
  <c r="M9" i="242"/>
  <c r="E12" i="242"/>
  <c r="G12" i="242" s="1"/>
  <c r="G69" i="242"/>
  <c r="A78" i="242"/>
  <c r="K78" i="242" s="1"/>
  <c r="I79" i="240"/>
  <c r="A65" i="242"/>
  <c r="K65" i="242" s="1"/>
  <c r="I75" i="240"/>
  <c r="G56" i="242"/>
  <c r="D29" i="242"/>
  <c r="E26" i="242"/>
  <c r="G26" i="242" s="1"/>
  <c r="J17" i="240"/>
  <c r="L20" i="240"/>
  <c r="L22" i="240"/>
  <c r="L19" i="240"/>
  <c r="L15" i="240"/>
  <c r="J22" i="240"/>
  <c r="L16" i="240"/>
  <c r="J16" i="240"/>
  <c r="J21" i="240"/>
  <c r="L21" i="240"/>
  <c r="L18" i="240"/>
  <c r="G38" i="240"/>
  <c r="M23" i="240" s="1"/>
  <c r="L17" i="240"/>
  <c r="J19" i="240"/>
  <c r="J20" i="240"/>
  <c r="J18" i="240"/>
  <c r="J15" i="240"/>
  <c r="E77" i="242"/>
  <c r="G77" i="242" s="1"/>
  <c r="E27" i="242"/>
  <c r="G27" i="242" s="1"/>
  <c r="C29" i="242"/>
  <c r="L77" i="240"/>
  <c r="L78" i="240"/>
  <c r="I76" i="240"/>
  <c r="A66" i="242"/>
  <c r="K66" i="242" s="1"/>
  <c r="I56" i="242"/>
  <c r="E64" i="242"/>
  <c r="G64" i="242" s="1"/>
  <c r="C83" i="240"/>
  <c r="N74" i="240"/>
  <c r="A65" i="240" s="1"/>
  <c r="C16" i="242"/>
  <c r="M7" i="242"/>
  <c r="B13" i="242" s="1"/>
  <c r="D15" i="242"/>
  <c r="E15" i="242" s="1"/>
  <c r="D13" i="242"/>
  <c r="E13" i="242" s="1"/>
  <c r="A14" i="242"/>
  <c r="K14" i="242" s="1"/>
  <c r="L9" i="242"/>
  <c r="B15" i="242" s="1"/>
  <c r="B34" i="223"/>
  <c r="D33" i="223"/>
  <c r="Q25" i="223"/>
  <c r="Q28" i="223"/>
  <c r="B37" i="223" s="1"/>
  <c r="C35" i="223"/>
  <c r="C38" i="223" s="1"/>
  <c r="R23" i="223"/>
  <c r="R28" i="223"/>
  <c r="Q27" i="223"/>
  <c r="Q23" i="223"/>
  <c r="R26" i="223"/>
  <c r="Q24" i="223"/>
  <c r="C17" i="223"/>
  <c r="E17" i="223" s="1"/>
  <c r="E36" i="223" s="1"/>
  <c r="C16" i="223"/>
  <c r="E16" i="223" s="1"/>
  <c r="Q5" i="223"/>
  <c r="D35" i="223"/>
  <c r="D38" i="223" s="1"/>
  <c r="D18" i="223"/>
  <c r="D15" i="223"/>
  <c r="D19" i="223" s="1"/>
  <c r="D14" i="223"/>
  <c r="C18" i="223"/>
  <c r="E18" i="223" s="1"/>
  <c r="E37" i="223" s="1"/>
  <c r="E32" i="223"/>
  <c r="B13" i="223"/>
  <c r="B32" i="223" s="1"/>
  <c r="Q8" i="223"/>
  <c r="B17" i="223" s="1"/>
  <c r="R7" i="223"/>
  <c r="E14" i="223"/>
  <c r="E33" i="223" s="1"/>
  <c r="C19" i="223"/>
  <c r="G13" i="223"/>
  <c r="G17" i="223"/>
  <c r="B36" i="223"/>
  <c r="G36" i="223" s="1"/>
  <c r="R5" i="223"/>
  <c r="B14" i="223" s="1"/>
  <c r="Q7" i="223"/>
  <c r="B16" i="223" s="1"/>
  <c r="I19" i="130"/>
  <c r="A31" i="130"/>
  <c r="A14" i="130"/>
  <c r="C15" i="130"/>
  <c r="O7" i="130"/>
  <c r="B15" i="130" s="1"/>
  <c r="D14" i="130"/>
  <c r="E14" i="130" s="1"/>
  <c r="E31" i="130" s="1"/>
  <c r="C14" i="130"/>
  <c r="P5" i="130"/>
  <c r="C30" i="130"/>
  <c r="P8" i="130"/>
  <c r="D15" i="130"/>
  <c r="E28" i="130"/>
  <c r="D33" i="130"/>
  <c r="D34" i="130" s="1"/>
  <c r="O25" i="130"/>
  <c r="C32" i="130"/>
  <c r="C16" i="130"/>
  <c r="E13" i="130"/>
  <c r="P7" i="130"/>
  <c r="E30" i="130"/>
  <c r="C34" i="130"/>
  <c r="B31" i="130"/>
  <c r="C17" i="130"/>
  <c r="E12" i="130"/>
  <c r="E29" i="130" s="1"/>
  <c r="B28" i="130"/>
  <c r="G28" i="130" s="1"/>
  <c r="G11" i="130"/>
  <c r="P24" i="130"/>
  <c r="P4" i="130"/>
  <c r="O4" i="130"/>
  <c r="O8" i="130"/>
  <c r="D16" i="130"/>
  <c r="E16" i="130" s="1"/>
  <c r="E33" i="130" s="1"/>
  <c r="P22" i="130"/>
  <c r="O22" i="130"/>
  <c r="O5" i="130"/>
  <c r="B13" i="130" s="1"/>
  <c r="N51" i="246"/>
  <c r="A44" i="246" s="1"/>
  <c r="C62" i="246"/>
  <c r="B52" i="246"/>
  <c r="G60" i="246"/>
  <c r="C29" i="247"/>
  <c r="G54" i="246"/>
  <c r="B58" i="246"/>
  <c r="B62" i="246"/>
  <c r="C13" i="247"/>
  <c r="E13" i="247" s="1"/>
  <c r="M8" i="247"/>
  <c r="E11" i="247"/>
  <c r="E26" i="247" s="1"/>
  <c r="A26" i="247"/>
  <c r="K3" i="247"/>
  <c r="N22" i="247"/>
  <c r="N23" i="247"/>
  <c r="M22" i="247"/>
  <c r="G18" i="247"/>
  <c r="A28" i="247"/>
  <c r="B65" i="246"/>
  <c r="E3" i="247"/>
  <c r="C14" i="247"/>
  <c r="I3" i="247"/>
  <c r="B11" i="247"/>
  <c r="B26" i="247" s="1"/>
  <c r="G26" i="247" s="1"/>
  <c r="G63" i="246"/>
  <c r="F59" i="246"/>
  <c r="E18" i="247"/>
  <c r="E12" i="247"/>
  <c r="D29" i="247"/>
  <c r="D15" i="247"/>
  <c r="C53" i="246"/>
  <c r="B59" i="246"/>
  <c r="G51" i="246"/>
  <c r="N6" i="247"/>
  <c r="D14" i="247"/>
  <c r="N8" i="247"/>
  <c r="B15" i="247" s="1"/>
  <c r="M6" i="247"/>
  <c r="M21" i="247"/>
  <c r="G11" i="247"/>
  <c r="A30" i="247"/>
  <c r="K18" i="247"/>
  <c r="M23" i="247"/>
  <c r="C28" i="247"/>
  <c r="N21" i="247"/>
  <c r="M5" i="247"/>
  <c r="A22" i="247"/>
  <c r="M51" i="246"/>
  <c r="E45" i="246"/>
  <c r="C65" i="246"/>
  <c r="B56" i="246"/>
  <c r="B64" i="246"/>
  <c r="D16" i="247"/>
  <c r="N5" i="247"/>
  <c r="M7" i="247"/>
  <c r="M20" i="247"/>
  <c r="C15" i="247"/>
  <c r="E15" i="247" s="1"/>
  <c r="M54" i="246"/>
  <c r="F56" i="246"/>
  <c r="F51" i="246"/>
  <c r="F50" i="246"/>
  <c r="F60" i="246"/>
  <c r="F57" i="246"/>
  <c r="D30" i="247"/>
  <c r="N7" i="247"/>
  <c r="C27" i="247"/>
  <c r="G65" i="242" l="1"/>
  <c r="C86" i="240"/>
  <c r="C67" i="242"/>
  <c r="N73" i="240"/>
  <c r="A64" i="240" s="1"/>
  <c r="C80" i="242"/>
  <c r="F27" i="242"/>
  <c r="G28" i="242"/>
  <c r="G66" i="242"/>
  <c r="F66" i="242" s="1"/>
  <c r="G14" i="242"/>
  <c r="B74" i="240"/>
  <c r="B97" i="240"/>
  <c r="B91" i="240"/>
  <c r="C101" i="240"/>
  <c r="B83" i="240"/>
  <c r="N80" i="240"/>
  <c r="E67" i="240" s="1"/>
  <c r="B95" i="240"/>
  <c r="B107" i="240"/>
  <c r="C80" i="240"/>
  <c r="B85" i="240"/>
  <c r="B103" i="240"/>
  <c r="B73" i="240"/>
  <c r="N78" i="240"/>
  <c r="E65" i="240" s="1"/>
  <c r="B77" i="240"/>
  <c r="B94" i="240"/>
  <c r="B100" i="240"/>
  <c r="G13" i="242"/>
  <c r="L74" i="240"/>
  <c r="B106" i="240"/>
  <c r="B76" i="240"/>
  <c r="B88" i="240"/>
  <c r="N77" i="240"/>
  <c r="E64" i="240" s="1"/>
  <c r="F77" i="242"/>
  <c r="F76" i="242"/>
  <c r="F12" i="242"/>
  <c r="F79" i="242"/>
  <c r="F78" i="242"/>
  <c r="M22" i="240"/>
  <c r="M16" i="240"/>
  <c r="M21" i="240"/>
  <c r="G15" i="242"/>
  <c r="D16" i="242"/>
  <c r="F63" i="242"/>
  <c r="C104" i="240"/>
  <c r="C89" i="240"/>
  <c r="B79" i="240"/>
  <c r="N75" i="240"/>
  <c r="A66" i="240" s="1"/>
  <c r="L75" i="240"/>
  <c r="B98" i="240"/>
  <c r="B86" i="240"/>
  <c r="M19" i="240"/>
  <c r="M15" i="240"/>
  <c r="C92" i="240"/>
  <c r="C77" i="240"/>
  <c r="B101" i="240"/>
  <c r="N79" i="240"/>
  <c r="E66" i="240" s="1"/>
  <c r="B89" i="240"/>
  <c r="B82" i="240"/>
  <c r="L79" i="240"/>
  <c r="F65" i="242"/>
  <c r="F26" i="242"/>
  <c r="M20" i="240"/>
  <c r="M17" i="240"/>
  <c r="C95" i="240"/>
  <c r="B92" i="240"/>
  <c r="B80" i="240"/>
  <c r="L76" i="240"/>
  <c r="N76" i="240"/>
  <c r="A67" i="240" s="1"/>
  <c r="B104" i="240"/>
  <c r="F25" i="242"/>
  <c r="F28" i="242"/>
  <c r="M18" i="240"/>
  <c r="G32" i="223"/>
  <c r="E35" i="223"/>
  <c r="G37" i="223"/>
  <c r="E15" i="223"/>
  <c r="E34" i="223" s="1"/>
  <c r="G34" i="223" s="1"/>
  <c r="F34" i="223" s="1"/>
  <c r="G18" i="223"/>
  <c r="B33" i="223"/>
  <c r="G33" i="223" s="1"/>
  <c r="G14" i="223"/>
  <c r="F37" i="223"/>
  <c r="B35" i="223"/>
  <c r="G35" i="223" s="1"/>
  <c r="G16" i="223"/>
  <c r="G15" i="223"/>
  <c r="F15" i="223" s="1"/>
  <c r="B16" i="130"/>
  <c r="G16" i="130" s="1"/>
  <c r="E15" i="130"/>
  <c r="E32" i="130" s="1"/>
  <c r="B12" i="130"/>
  <c r="G31" i="130"/>
  <c r="D17" i="130"/>
  <c r="G13" i="130"/>
  <c r="B30" i="130"/>
  <c r="G30" i="130" s="1"/>
  <c r="B33" i="130"/>
  <c r="G33" i="130" s="1"/>
  <c r="G14" i="130"/>
  <c r="B32" i="130"/>
  <c r="G15" i="130"/>
  <c r="B29" i="130"/>
  <c r="G29" i="130" s="1"/>
  <c r="G12" i="130"/>
  <c r="E30" i="247"/>
  <c r="J53" i="246"/>
  <c r="E29" i="247"/>
  <c r="E14" i="247"/>
  <c r="E28" i="247"/>
  <c r="K54" i="246"/>
  <c r="B30" i="247"/>
  <c r="G15" i="247"/>
  <c r="B13" i="247"/>
  <c r="G13" i="247" s="1"/>
  <c r="B28" i="247"/>
  <c r="G28" i="247" s="1"/>
  <c r="G30" i="247"/>
  <c r="B14" i="247"/>
  <c r="J54" i="246"/>
  <c r="K52" i="246"/>
  <c r="K55" i="246"/>
  <c r="J55" i="246"/>
  <c r="K51" i="246"/>
  <c r="I18" i="247"/>
  <c r="A29" i="247"/>
  <c r="E27" i="247"/>
  <c r="C31" i="247"/>
  <c r="M56" i="246"/>
  <c r="M55" i="246"/>
  <c r="M53" i="246"/>
  <c r="B12" i="247"/>
  <c r="K53" i="246"/>
  <c r="C16" i="247"/>
  <c r="D31" i="247"/>
  <c r="M52" i="246"/>
  <c r="L55" i="246"/>
  <c r="L52" i="246"/>
  <c r="L53" i="246"/>
  <c r="L54" i="246"/>
  <c r="L51" i="246"/>
  <c r="J51" i="246"/>
  <c r="J52" i="246"/>
  <c r="F64" i="242" l="1"/>
  <c r="M79" i="240"/>
  <c r="J75" i="240"/>
  <c r="M76" i="240"/>
  <c r="J79" i="240"/>
  <c r="K76" i="240"/>
  <c r="J76" i="240"/>
  <c r="K79" i="240"/>
  <c r="M75" i="240"/>
  <c r="F15" i="242"/>
  <c r="F14" i="242"/>
  <c r="K75" i="240"/>
  <c r="F13" i="242"/>
  <c r="M73" i="240"/>
  <c r="M78" i="240"/>
  <c r="M81" i="240"/>
  <c r="M74" i="240"/>
  <c r="M80" i="240"/>
  <c r="M77" i="240"/>
  <c r="K78" i="240"/>
  <c r="J73" i="240"/>
  <c r="J80" i="240"/>
  <c r="K73" i="240"/>
  <c r="J74" i="240"/>
  <c r="K77" i="240"/>
  <c r="K74" i="240"/>
  <c r="J77" i="240"/>
  <c r="K80" i="240"/>
  <c r="J78" i="240"/>
  <c r="F33" i="223"/>
  <c r="F32" i="223"/>
  <c r="F17" i="223"/>
  <c r="F31" i="223"/>
  <c r="F35" i="223"/>
  <c r="F13" i="223"/>
  <c r="F36" i="223"/>
  <c r="F12" i="223"/>
  <c r="F14" i="223"/>
  <c r="F18" i="223"/>
  <c r="F16" i="223"/>
  <c r="F28" i="130"/>
  <c r="I28" i="130" s="1"/>
  <c r="F16" i="130"/>
  <c r="F11" i="130"/>
  <c r="I13" i="130" s="1"/>
  <c r="I60" i="129" s="1"/>
  <c r="G32" i="130"/>
  <c r="F32" i="130" s="1"/>
  <c r="F29" i="130"/>
  <c r="F13" i="130"/>
  <c r="F12" i="130"/>
  <c r="I16" i="130" s="1"/>
  <c r="I63" i="129" s="1"/>
  <c r="F14" i="130"/>
  <c r="F30" i="130"/>
  <c r="I31" i="130" s="1"/>
  <c r="I15" i="130"/>
  <c r="I62" i="129" s="1"/>
  <c r="I12" i="130"/>
  <c r="I59" i="129" s="1"/>
  <c r="F15" i="130"/>
  <c r="F33" i="130"/>
  <c r="F31" i="130"/>
  <c r="I33" i="130"/>
  <c r="I32" i="130"/>
  <c r="G14" i="247"/>
  <c r="F14" i="247" s="1"/>
  <c r="B29" i="247"/>
  <c r="G29" i="247" s="1"/>
  <c r="G12" i="247"/>
  <c r="B27" i="247"/>
  <c r="G27" i="247" s="1"/>
  <c r="F30" i="247" s="1"/>
  <c r="I15" i="223" l="1"/>
  <c r="I73" i="222" s="1"/>
  <c r="I17" i="223"/>
  <c r="I74" i="222" s="1"/>
  <c r="I14" i="223"/>
  <c r="I70" i="222" s="1"/>
  <c r="I12" i="223"/>
  <c r="I69" i="222" s="1"/>
  <c r="I18" i="223"/>
  <c r="I75" i="222" s="1"/>
  <c r="I13" i="223"/>
  <c r="I71" i="222" s="1"/>
  <c r="I16" i="223"/>
  <c r="I72" i="222" s="1"/>
  <c r="I35" i="223"/>
  <c r="I34" i="223"/>
  <c r="I33" i="223"/>
  <c r="I32" i="223"/>
  <c r="I31" i="223"/>
  <c r="I36" i="223"/>
  <c r="I37" i="223"/>
  <c r="I29" i="130"/>
  <c r="I11" i="130"/>
  <c r="I58" i="129" s="1"/>
  <c r="B70" i="129" s="1"/>
  <c r="N63" i="129"/>
  <c r="E52" i="129" s="1"/>
  <c r="B71" i="129"/>
  <c r="G60" i="129"/>
  <c r="G78" i="129"/>
  <c r="F75" i="129"/>
  <c r="F69" i="129"/>
  <c r="F56" i="129"/>
  <c r="B65" i="129"/>
  <c r="N58" i="129"/>
  <c r="A50" i="129" s="1"/>
  <c r="F71" i="129"/>
  <c r="F81" i="129"/>
  <c r="F59" i="129"/>
  <c r="G63" i="129"/>
  <c r="B58" i="129"/>
  <c r="I14" i="130"/>
  <c r="I61" i="129" s="1"/>
  <c r="F63" i="129"/>
  <c r="N62" i="129"/>
  <c r="E51" i="129" s="1"/>
  <c r="B73" i="129"/>
  <c r="F72" i="129"/>
  <c r="F77" i="129"/>
  <c r="G75" i="129"/>
  <c r="B64" i="129"/>
  <c r="G66" i="129"/>
  <c r="I30" i="130"/>
  <c r="B59" i="129"/>
  <c r="F65" i="129"/>
  <c r="B68" i="129"/>
  <c r="F57" i="129"/>
  <c r="C71" i="129"/>
  <c r="N59" i="129"/>
  <c r="A51" i="129" s="1"/>
  <c r="C62" i="129"/>
  <c r="F78" i="129"/>
  <c r="F68" i="129"/>
  <c r="B67" i="129"/>
  <c r="C74" i="129"/>
  <c r="B61" i="129"/>
  <c r="G72" i="129"/>
  <c r="N60" i="129"/>
  <c r="A52" i="129" s="1"/>
  <c r="F62" i="129"/>
  <c r="F80" i="129"/>
  <c r="F29" i="247"/>
  <c r="F27" i="247"/>
  <c r="F28" i="247"/>
  <c r="F26" i="247"/>
  <c r="F12" i="247"/>
  <c r="F15" i="247"/>
  <c r="F13" i="247"/>
  <c r="F11" i="247"/>
  <c r="F88" i="222" l="1"/>
  <c r="N69" i="222"/>
  <c r="A60" i="222" s="1"/>
  <c r="F73" i="222"/>
  <c r="B78" i="222"/>
  <c r="G83" i="222"/>
  <c r="F97" i="222"/>
  <c r="B91" i="222"/>
  <c r="B84" i="222"/>
  <c r="G92" i="222"/>
  <c r="F74" i="222"/>
  <c r="G98" i="222"/>
  <c r="B93" i="222"/>
  <c r="F68" i="222"/>
  <c r="C85" i="222"/>
  <c r="G86" i="222"/>
  <c r="F79" i="222"/>
  <c r="F92" i="222"/>
  <c r="B81" i="222"/>
  <c r="N72" i="222"/>
  <c r="A63" i="222" s="1"/>
  <c r="N70" i="222"/>
  <c r="A61" i="222" s="1"/>
  <c r="B72" i="222"/>
  <c r="F98" i="222"/>
  <c r="C76" i="222"/>
  <c r="B94" i="222"/>
  <c r="G95" i="222"/>
  <c r="F76" i="222"/>
  <c r="F85" i="222"/>
  <c r="B87" i="222"/>
  <c r="G71" i="222"/>
  <c r="C82" i="222"/>
  <c r="B69" i="222"/>
  <c r="F80" i="222"/>
  <c r="F101" i="222"/>
  <c r="B90" i="222"/>
  <c r="G89" i="222"/>
  <c r="B75" i="222"/>
  <c r="F86" i="222"/>
  <c r="N71" i="222"/>
  <c r="A62" i="222" s="1"/>
  <c r="B88" i="222"/>
  <c r="F95" i="222"/>
  <c r="N74" i="222"/>
  <c r="E61" i="222" s="1"/>
  <c r="G101" i="222"/>
  <c r="G77" i="222"/>
  <c r="B70" i="222"/>
  <c r="F89" i="222"/>
  <c r="F70" i="222"/>
  <c r="B82" i="222"/>
  <c r="C73" i="222"/>
  <c r="B85" i="222"/>
  <c r="F67" i="222"/>
  <c r="L69" i="222" s="1"/>
  <c r="C79" i="222"/>
  <c r="F94" i="222"/>
  <c r="N75" i="222"/>
  <c r="E62" i="222" s="1"/>
  <c r="B76" i="222"/>
  <c r="C88" i="222"/>
  <c r="G80" i="222"/>
  <c r="F77" i="222"/>
  <c r="F83" i="222"/>
  <c r="F82" i="222"/>
  <c r="C91" i="222"/>
  <c r="M71" i="222" s="1"/>
  <c r="C94" i="222"/>
  <c r="F100" i="222"/>
  <c r="B73" i="222"/>
  <c r="N73" i="222"/>
  <c r="E60" i="222" s="1"/>
  <c r="G74" i="222"/>
  <c r="B79" i="222"/>
  <c r="F71" i="222"/>
  <c r="F91" i="222"/>
  <c r="L73" i="222" s="1"/>
  <c r="C65" i="129"/>
  <c r="B62" i="129"/>
  <c r="C68" i="129"/>
  <c r="M60" i="129" s="1"/>
  <c r="F60" i="129"/>
  <c r="B74" i="129"/>
  <c r="K62" i="129" s="1"/>
  <c r="F66" i="129"/>
  <c r="L61" i="129" s="1"/>
  <c r="N61" i="129"/>
  <c r="E50" i="129" s="1"/>
  <c r="F74" i="129"/>
  <c r="G69" i="129"/>
  <c r="K58" i="129"/>
  <c r="M63" i="129"/>
  <c r="L75" i="222" l="1"/>
  <c r="J73" i="222"/>
  <c r="J71" i="222"/>
  <c r="J70" i="222"/>
  <c r="J75" i="222"/>
  <c r="M75" i="222"/>
  <c r="M74" i="222"/>
  <c r="J72" i="222"/>
  <c r="L74" i="222"/>
  <c r="K73" i="222"/>
  <c r="K74" i="222"/>
  <c r="M76" i="222"/>
  <c r="L70" i="222"/>
  <c r="M72" i="222"/>
  <c r="L72" i="222"/>
  <c r="J69" i="222"/>
  <c r="M73" i="222"/>
  <c r="K75" i="222"/>
  <c r="J74" i="222"/>
  <c r="K71" i="222"/>
  <c r="M70" i="222"/>
  <c r="K72" i="222"/>
  <c r="K69" i="222"/>
  <c r="L71" i="222"/>
  <c r="K70" i="222"/>
  <c r="M69" i="222"/>
  <c r="M61" i="129"/>
  <c r="J59" i="129"/>
  <c r="L63" i="129"/>
  <c r="M59" i="129"/>
  <c r="K61" i="129"/>
  <c r="L60" i="129"/>
  <c r="L59" i="129"/>
  <c r="M62" i="129"/>
  <c r="K63" i="129"/>
  <c r="M64" i="129"/>
  <c r="L58" i="129"/>
  <c r="L62" i="129"/>
  <c r="J61" i="129"/>
  <c r="K59" i="129"/>
  <c r="J60" i="129"/>
  <c r="M58" i="129"/>
  <c r="K60" i="129"/>
  <c r="J62" i="129"/>
  <c r="J63" i="129"/>
  <c r="J58" i="129"/>
</calcChain>
</file>

<file path=xl/comments1.xml><?xml version="1.0" encoding="utf-8"?>
<comments xmlns="http://schemas.openxmlformats.org/spreadsheetml/2006/main">
  <authors>
    <author>st03988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</text>
    </comment>
  </commentList>
</comments>
</file>

<file path=xl/comments2.xml><?xml version="1.0" encoding="utf-8"?>
<comments xmlns="http://schemas.openxmlformats.org/spreadsheetml/2006/main">
  <authors>
    <author>st03988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</text>
    </comment>
  </commentList>
</comments>
</file>

<file path=xl/comments3.xml><?xml version="1.0" encoding="utf-8"?>
<comments xmlns="http://schemas.openxmlformats.org/spreadsheetml/2006/main">
  <authors>
    <author>st03988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</text>
    </comment>
  </commentList>
</comments>
</file>

<file path=xl/comments4.xml><?xml version="1.0" encoding="utf-8"?>
<comments xmlns="http://schemas.openxmlformats.org/spreadsheetml/2006/main">
  <authors>
    <author>st03988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A : absent =&gt; 0pts
F : forfait joué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<sst xmlns="http://schemas.openxmlformats.org/spreadsheetml/2006/main" count="1176" uniqueCount="469">
  <si>
    <t>Friselis</t>
  </si>
  <si>
    <t>Flying Carpet</t>
  </si>
  <si>
    <t>Magic Disc</t>
  </si>
  <si>
    <t>Everest</t>
  </si>
  <si>
    <t>Anges des Monts</t>
  </si>
  <si>
    <t>Frisbeurs</t>
  </si>
  <si>
    <t>Iznogood</t>
  </si>
  <si>
    <t>Friselis 2</t>
  </si>
  <si>
    <t>Synoptic</t>
  </si>
  <si>
    <t>Sesquidistus</t>
  </si>
  <si>
    <t>UFO</t>
  </si>
  <si>
    <t>RFO</t>
  </si>
  <si>
    <t>Tsunami</t>
  </si>
  <si>
    <t>Ziggles</t>
  </si>
  <si>
    <t>Frisbeurs 2</t>
  </si>
  <si>
    <t>Moustix</t>
  </si>
  <si>
    <t>Manchots</t>
  </si>
  <si>
    <t>Ultimate Vibration</t>
  </si>
  <si>
    <t>Contact Disc</t>
  </si>
  <si>
    <t>Jack'Suns</t>
  </si>
  <si>
    <t>Révolution'Air</t>
  </si>
  <si>
    <t>Révolution'Air 2</t>
  </si>
  <si>
    <t>SAMEDI</t>
  </si>
  <si>
    <t>DIMANCHE</t>
  </si>
  <si>
    <t>14h15</t>
  </si>
  <si>
    <t>9h30</t>
  </si>
  <si>
    <t>15h00</t>
  </si>
  <si>
    <t>10h15</t>
  </si>
  <si>
    <t>15h45</t>
  </si>
  <si>
    <t>11h00</t>
  </si>
  <si>
    <t>Directeur de tournoi</t>
  </si>
  <si>
    <t>16h30</t>
  </si>
  <si>
    <t>11h45</t>
  </si>
  <si>
    <t>17h15</t>
  </si>
  <si>
    <t>12h30</t>
  </si>
  <si>
    <t>18h00</t>
  </si>
  <si>
    <t>13h15</t>
  </si>
  <si>
    <t>14h00</t>
  </si>
  <si>
    <t>14h45</t>
  </si>
  <si>
    <t>15h30</t>
  </si>
  <si>
    <t>Friz'Toi</t>
  </si>
  <si>
    <t>Blois</t>
  </si>
  <si>
    <t>Le NUC</t>
  </si>
  <si>
    <t>Nantes</t>
  </si>
  <si>
    <t>Jack'Suns 2</t>
  </si>
  <si>
    <t>Fontenay Le Comte</t>
  </si>
  <si>
    <t>Angers</t>
  </si>
  <si>
    <t>Versailles</t>
  </si>
  <si>
    <t>Disc'Lexiques</t>
  </si>
  <si>
    <t>Tsunami 2</t>
  </si>
  <si>
    <t>Ah Ouh PUC</t>
  </si>
  <si>
    <t>Phoenix</t>
  </si>
  <si>
    <t>Dragon's Delta</t>
  </si>
  <si>
    <t>33 Tours</t>
  </si>
  <si>
    <t>Contact Disc 2</t>
  </si>
  <si>
    <t>RFO 2</t>
  </si>
  <si>
    <t>Ile de Ré</t>
  </si>
  <si>
    <t>Moustix 3</t>
  </si>
  <si>
    <t>Ziggles 2</t>
  </si>
  <si>
    <t>Ziggles 3</t>
  </si>
  <si>
    <t>Freezgo Cuatro</t>
  </si>
  <si>
    <t>Sesquidistus 2</t>
  </si>
  <si>
    <t>Ultimate Troopers</t>
  </si>
  <si>
    <t>La Bourrasque</t>
  </si>
  <si>
    <t>Ultimetz</t>
  </si>
  <si>
    <t>Psykies</t>
  </si>
  <si>
    <t>Friselis 3</t>
  </si>
  <si>
    <t>Flep Intox</t>
  </si>
  <si>
    <t>Hultic</t>
  </si>
  <si>
    <t>Fly Disc'R</t>
  </si>
  <si>
    <t>Les Allumates</t>
  </si>
  <si>
    <t>Les Allumates 2</t>
  </si>
  <si>
    <t>Ah Ouh PUC 2</t>
  </si>
  <si>
    <t>Ah Ouh PUC 3</t>
  </si>
  <si>
    <t>Magic Disc 2</t>
  </si>
  <si>
    <t>Paris</t>
  </si>
  <si>
    <t>Lyon</t>
  </si>
  <si>
    <t>Captain Meeting</t>
  </si>
  <si>
    <t>Equipe</t>
  </si>
  <si>
    <t>Ville</t>
  </si>
  <si>
    <t>Cergy</t>
  </si>
  <si>
    <t>Toulouse</t>
  </si>
  <si>
    <t>Créteil</t>
  </si>
  <si>
    <t>Nemours</t>
  </si>
  <si>
    <t>Luzarches</t>
  </si>
  <si>
    <t>Rennes</t>
  </si>
  <si>
    <t>Arradon</t>
  </si>
  <si>
    <t>Nancy</t>
  </si>
  <si>
    <t>Clermont-Ferrand</t>
  </si>
  <si>
    <t>Nice</t>
  </si>
  <si>
    <t>Plaisir</t>
  </si>
  <si>
    <t>La Celle St Cloud</t>
  </si>
  <si>
    <t>Le Mans</t>
  </si>
  <si>
    <t>Bordeaux</t>
  </si>
  <si>
    <t>Niort</t>
  </si>
  <si>
    <t>Freezgo</t>
  </si>
  <si>
    <t>Lanion / Brest</t>
  </si>
  <si>
    <t>OUF 2</t>
  </si>
  <si>
    <t>33 Tours 2</t>
  </si>
  <si>
    <t>Strasbourg</t>
  </si>
  <si>
    <t>Eul'Chtimate</t>
  </si>
  <si>
    <t>Lille</t>
  </si>
  <si>
    <t>Montrouge</t>
  </si>
  <si>
    <t>Vibes Too</t>
  </si>
  <si>
    <t>Evreux</t>
  </si>
  <si>
    <t>Le Havre</t>
  </si>
  <si>
    <t>Mosquidos</t>
  </si>
  <si>
    <t>BonDiscManche</t>
  </si>
  <si>
    <t>Mistix</t>
  </si>
  <si>
    <t>Psyko</t>
  </si>
  <si>
    <t>Izaka</t>
  </si>
  <si>
    <t>Grenoble</t>
  </si>
  <si>
    <t>Pontarlier</t>
  </si>
  <si>
    <t>Table de marque :</t>
  </si>
  <si>
    <t>Match 25 minutes ou 13 pts
1 TM / équipe + 1 dans Cap, durée 1 minute
Cap +2 systématique</t>
  </si>
  <si>
    <t>Freezgo Uno</t>
  </si>
  <si>
    <t>Pornichet</t>
  </si>
  <si>
    <t>Pertuis</t>
  </si>
  <si>
    <t>OUF</t>
  </si>
  <si>
    <t>Tchac</t>
  </si>
  <si>
    <t>Tchac 2</t>
  </si>
  <si>
    <t>Tchac 3</t>
  </si>
  <si>
    <t>Frisbeurs 3</t>
  </si>
  <si>
    <t>Phoenix Piou</t>
  </si>
  <si>
    <t>Normandix</t>
  </si>
  <si>
    <t>Rising SUN</t>
  </si>
  <si>
    <t>Caen</t>
  </si>
  <si>
    <t>KLB</t>
  </si>
  <si>
    <t>Disc'Lexiques 2</t>
  </si>
  <si>
    <t>Metz</t>
  </si>
  <si>
    <t>Liverdun</t>
  </si>
  <si>
    <t>Besançon</t>
  </si>
  <si>
    <t>Créhange</t>
  </si>
  <si>
    <t>13h00</t>
  </si>
  <si>
    <t>14h20</t>
  </si>
  <si>
    <t>Friz'Toi 2</t>
  </si>
  <si>
    <t>Orléans</t>
  </si>
  <si>
    <t>Ultimate Vibration 2</t>
  </si>
  <si>
    <t>Brest</t>
  </si>
  <si>
    <t>Lannion</t>
  </si>
  <si>
    <t>Mr Friz 2</t>
  </si>
  <si>
    <t>Mr Friz</t>
  </si>
  <si>
    <t>Carrières sous Poissy</t>
  </si>
  <si>
    <t>BTRookies</t>
  </si>
  <si>
    <t>BTRaves</t>
  </si>
  <si>
    <t>BTRex</t>
  </si>
  <si>
    <t>T-R'Aix</t>
  </si>
  <si>
    <t>Aix-en-Provence</t>
  </si>
  <si>
    <t>Carpentras</t>
  </si>
  <si>
    <t>Monkey 2</t>
  </si>
  <si>
    <t>Monkey</t>
  </si>
  <si>
    <t>NUC two</t>
  </si>
  <si>
    <t>Ultimat'Pongo</t>
  </si>
  <si>
    <t>16h00</t>
  </si>
  <si>
    <t>Sista Vibes</t>
  </si>
  <si>
    <t>UV Ki School</t>
  </si>
  <si>
    <t>Sun</t>
  </si>
  <si>
    <t>9h00</t>
  </si>
  <si>
    <t>Friz'Bisontins</t>
  </si>
  <si>
    <t>Hot</t>
  </si>
  <si>
    <t>Tourne-Disc</t>
  </si>
  <si>
    <t>Tourne-Disc 2</t>
  </si>
  <si>
    <t>Ultimotte de Vesoul</t>
  </si>
  <si>
    <t>Vesoul</t>
  </si>
  <si>
    <t>Dijon</t>
  </si>
  <si>
    <t>Sesquidistus 3</t>
  </si>
  <si>
    <t>matchs gagnés</t>
  </si>
  <si>
    <t>G</t>
  </si>
  <si>
    <t>P</t>
  </si>
  <si>
    <t>points</t>
  </si>
  <si>
    <t>+</t>
  </si>
  <si>
    <t>-</t>
  </si>
  <si>
    <t>diff</t>
  </si>
  <si>
    <t>place</t>
  </si>
  <si>
    <t>Classement</t>
  </si>
  <si>
    <t>1/2 finale</t>
  </si>
  <si>
    <t>Finale</t>
  </si>
  <si>
    <t>3e place</t>
  </si>
  <si>
    <t>5e place</t>
  </si>
  <si>
    <t>7e place</t>
  </si>
  <si>
    <t>Hot 2</t>
  </si>
  <si>
    <t>Ultimate Flying Cows</t>
  </si>
  <si>
    <t>Phoenix 3</t>
  </si>
  <si>
    <t>Little Team Sun Shine</t>
  </si>
  <si>
    <t>Tsunami 3</t>
  </si>
  <si>
    <t>Poule A</t>
  </si>
  <si>
    <t>Poule B</t>
  </si>
  <si>
    <t>BTRaifort</t>
  </si>
  <si>
    <t>Fumble</t>
  </si>
  <si>
    <t>Vazylence</t>
  </si>
  <si>
    <t>Valence</t>
  </si>
  <si>
    <t>CS-Révolution'Air</t>
  </si>
  <si>
    <t>CS-Révolution'Air 2</t>
  </si>
  <si>
    <t>Psykopass</t>
  </si>
  <si>
    <t>Nîmes</t>
  </si>
  <si>
    <t>PhoeniX'Trem</t>
  </si>
  <si>
    <t>Brave Troopers</t>
  </si>
  <si>
    <t>Heart Troopers</t>
  </si>
  <si>
    <t>Ultimotte</t>
  </si>
  <si>
    <t>Babysontins</t>
  </si>
  <si>
    <t>14h30</t>
  </si>
  <si>
    <t>10h00</t>
  </si>
  <si>
    <t>11h30</t>
  </si>
  <si>
    <t>12h15</t>
  </si>
  <si>
    <t>Sesquidistus 4</t>
  </si>
  <si>
    <t>Voujeaucourt</t>
  </si>
  <si>
    <t>Classement A</t>
  </si>
  <si>
    <t>Classement B</t>
  </si>
  <si>
    <t>12h40</t>
  </si>
  <si>
    <t>Les Pirates</t>
  </si>
  <si>
    <t>Tchac 4</t>
  </si>
  <si>
    <t>Laval</t>
  </si>
  <si>
    <t>Raid'Apte</t>
  </si>
  <si>
    <t>Freezgo MUD</t>
  </si>
  <si>
    <t>RFO 3</t>
  </si>
  <si>
    <t>Les Brouzils</t>
  </si>
  <si>
    <t>Fumble One</t>
  </si>
  <si>
    <t>Dahultimate</t>
  </si>
  <si>
    <t>Chamber'Monts Disque</t>
  </si>
  <si>
    <t>Fumble Two</t>
  </si>
  <si>
    <t>La Trix</t>
  </si>
  <si>
    <t>Discobols</t>
  </si>
  <si>
    <t>CUB</t>
  </si>
  <si>
    <t>Tarbes</t>
  </si>
  <si>
    <t>Seynod</t>
  </si>
  <si>
    <t>Montpellier</t>
  </si>
  <si>
    <t>Frog Disc Section</t>
  </si>
  <si>
    <t>Disc'KO</t>
  </si>
  <si>
    <t>Evry</t>
  </si>
  <si>
    <t>Power Rouengers</t>
  </si>
  <si>
    <t>Vibration School</t>
  </si>
  <si>
    <t>Révolution'Air 3</t>
  </si>
  <si>
    <t>Rouen</t>
  </si>
  <si>
    <t>power Rouengers 2</t>
  </si>
  <si>
    <t>11h40</t>
  </si>
  <si>
    <t>12h20</t>
  </si>
  <si>
    <t>13h40</t>
  </si>
  <si>
    <t>15h40</t>
  </si>
  <si>
    <t>16h20</t>
  </si>
  <si>
    <t>17h00</t>
  </si>
  <si>
    <t>9h40</t>
  </si>
  <si>
    <t>10h20</t>
  </si>
  <si>
    <t>St Germain en Laye</t>
  </si>
  <si>
    <t>Dourne-Tisc</t>
  </si>
  <si>
    <t>14h40</t>
  </si>
  <si>
    <t>15h20</t>
  </si>
  <si>
    <t>16h40</t>
  </si>
  <si>
    <t>17h20</t>
  </si>
  <si>
    <t>Breizhstorming</t>
  </si>
  <si>
    <t>Contact Bis</t>
  </si>
  <si>
    <t>A1</t>
  </si>
  <si>
    <t>A2</t>
  </si>
  <si>
    <t>A3</t>
  </si>
  <si>
    <t>A4</t>
  </si>
  <si>
    <t>Raging Bananas</t>
  </si>
  <si>
    <t>Raging Bananas 2</t>
  </si>
  <si>
    <t>FU</t>
  </si>
  <si>
    <t>FU 2</t>
  </si>
  <si>
    <t>Friz'Bisontins 2</t>
  </si>
  <si>
    <t>B1</t>
  </si>
  <si>
    <t>B2</t>
  </si>
  <si>
    <t>B3</t>
  </si>
  <si>
    <t>B4</t>
  </si>
  <si>
    <t>Chessy</t>
  </si>
  <si>
    <t>Pongo</t>
  </si>
  <si>
    <t>Challans</t>
  </si>
  <si>
    <t>Coulommiers</t>
  </si>
  <si>
    <t>RFO Pirates</t>
  </si>
  <si>
    <t>RFO Sultan</t>
  </si>
  <si>
    <t>RFO Harmattan</t>
  </si>
  <si>
    <t>Raging Bananas 3</t>
  </si>
  <si>
    <t>Raging Bananas 4</t>
  </si>
  <si>
    <t>Jets</t>
  </si>
  <si>
    <t>Tchac 5</t>
  </si>
  <si>
    <t>HULC</t>
  </si>
  <si>
    <t>Mâcon</t>
  </si>
  <si>
    <t>Free's by 66</t>
  </si>
  <si>
    <t>Crumble</t>
  </si>
  <si>
    <t>GROUF</t>
  </si>
  <si>
    <t>GROUF 2</t>
  </si>
  <si>
    <t>Youltima</t>
  </si>
  <si>
    <t>Rebel'Hot</t>
  </si>
  <si>
    <t>Friselis 4</t>
  </si>
  <si>
    <t>9h</t>
  </si>
  <si>
    <t>13h20</t>
  </si>
  <si>
    <t>14h</t>
  </si>
  <si>
    <t>11h</t>
  </si>
  <si>
    <t>16h</t>
  </si>
  <si>
    <t>13h</t>
  </si>
  <si>
    <t>18h</t>
  </si>
  <si>
    <t>18h40</t>
  </si>
  <si>
    <t>15h</t>
  </si>
  <si>
    <t>Les Herbiers</t>
  </si>
  <si>
    <t>Chambéry</t>
  </si>
  <si>
    <t>Roanne</t>
  </si>
  <si>
    <t>Rodez</t>
  </si>
  <si>
    <t>Elne</t>
  </si>
  <si>
    <t>UPA</t>
  </si>
  <si>
    <t>Saône X</t>
  </si>
  <si>
    <t>MUD</t>
  </si>
  <si>
    <t>MUD 2</t>
  </si>
  <si>
    <t>Tchac I</t>
  </si>
  <si>
    <t>AS Mer</t>
  </si>
  <si>
    <t>MUD 3</t>
  </si>
  <si>
    <t>Tchac O</t>
  </si>
  <si>
    <t>Mer</t>
  </si>
  <si>
    <t>Friselis Jr</t>
  </si>
  <si>
    <t>Freezgo 2</t>
  </si>
  <si>
    <t>Saint Prix</t>
  </si>
  <si>
    <t>Green Tchac</t>
  </si>
  <si>
    <t>Black Tchac</t>
  </si>
  <si>
    <t>Krampouz</t>
  </si>
  <si>
    <t>Freevol</t>
  </si>
  <si>
    <t>Diskuizh</t>
  </si>
  <si>
    <t>Diskuizh 2</t>
  </si>
  <si>
    <t>Funky Fools</t>
  </si>
  <si>
    <t>Jets 2</t>
  </si>
  <si>
    <t>Furious Five</t>
  </si>
  <si>
    <t>Everest Régénération</t>
  </si>
  <si>
    <t>Saône X²</t>
  </si>
  <si>
    <t>Yléou Monts Disque</t>
  </si>
  <si>
    <t>Bouquetin</t>
  </si>
  <si>
    <t>T-R'Aix 3</t>
  </si>
  <si>
    <t>Les Marsiens</t>
  </si>
  <si>
    <t>Les Fantastix Four</t>
  </si>
  <si>
    <t>Marseille</t>
  </si>
  <si>
    <t>CUT</t>
  </si>
  <si>
    <t>Freeze Bee</t>
  </si>
  <si>
    <t>OUF 3</t>
  </si>
  <si>
    <t>Chartres</t>
  </si>
  <si>
    <t>Chateauroux</t>
  </si>
  <si>
    <t>Réservoir Frogs</t>
  </si>
  <si>
    <t>Ah Ouh PUC 4</t>
  </si>
  <si>
    <t>FU 3</t>
  </si>
  <si>
    <t>MUD'este</t>
  </si>
  <si>
    <t>FU14</t>
  </si>
  <si>
    <t>PataMUD'lé</t>
  </si>
  <si>
    <t>TopMUD'aile</t>
  </si>
  <si>
    <t>Tsunaminimoys</t>
  </si>
  <si>
    <t>MUD'in'Mer</t>
  </si>
  <si>
    <t>Manchots A</t>
  </si>
  <si>
    <t>FU17</t>
  </si>
  <si>
    <t>EFE'2'MUD</t>
  </si>
  <si>
    <t>Mer'MUDas</t>
  </si>
  <si>
    <t>Tsunaminis</t>
  </si>
  <si>
    <t>Manchots B</t>
  </si>
  <si>
    <t>CHUT</t>
  </si>
  <si>
    <t>FU20</t>
  </si>
  <si>
    <t>Manchots C</t>
  </si>
  <si>
    <t>Châteauneuf en Thymerais</t>
  </si>
  <si>
    <t>Fresh Fever</t>
  </si>
  <si>
    <t>ZéroGêne</t>
  </si>
  <si>
    <t>ZéroGêne 2</t>
  </si>
  <si>
    <t>APUCalypse</t>
  </si>
  <si>
    <t>Contact Fus'Yon</t>
  </si>
  <si>
    <t>La Roche sur Yon</t>
  </si>
  <si>
    <t>Diplo2Cuts</t>
  </si>
  <si>
    <t>Pongogo</t>
  </si>
  <si>
    <t>ZéroGêne 3</t>
  </si>
  <si>
    <t>Discjonctés</t>
  </si>
  <si>
    <t>Discjonctés 2</t>
  </si>
  <si>
    <t>Discjonctés 3</t>
  </si>
  <si>
    <t>Céréales Killers</t>
  </si>
  <si>
    <t>Cut and Catch</t>
  </si>
  <si>
    <t>Fris'Bigorre</t>
  </si>
  <si>
    <t>Pau</t>
  </si>
  <si>
    <t>Bear'n Storm</t>
  </si>
  <si>
    <t>Piratoxic</t>
  </si>
  <si>
    <t>Piratomic</t>
  </si>
  <si>
    <t>Choucas</t>
  </si>
  <si>
    <t>AST Ultimate</t>
  </si>
  <si>
    <t>Magic Disc 3</t>
  </si>
  <si>
    <t>Freevol'2Mort</t>
  </si>
  <si>
    <t>Freevol'Verine</t>
  </si>
  <si>
    <t>Friz'Bisontins 3</t>
  </si>
  <si>
    <t>Freevol'Lywood</t>
  </si>
  <si>
    <t>Psykopass 2</t>
  </si>
  <si>
    <t>Lez'Héraultimates</t>
  </si>
  <si>
    <t>KLB 2</t>
  </si>
  <si>
    <t>Lez'Héraultimates 2</t>
  </si>
  <si>
    <t>Fly Disc'R 2</t>
  </si>
  <si>
    <t>Révolution'Air 4</t>
  </si>
  <si>
    <t>Iznogood 2</t>
  </si>
  <si>
    <t>Phoenix 4</t>
  </si>
  <si>
    <t>Ah Ouh PUC 5</t>
  </si>
  <si>
    <t>Saint Brieuc</t>
  </si>
  <si>
    <t xml:space="preserve">Dragon's </t>
  </si>
  <si>
    <t>Andrézieux</t>
  </si>
  <si>
    <t>Noisy-le-Sec</t>
  </si>
  <si>
    <t>Joué-lès-Tours</t>
  </si>
  <si>
    <t>14h25</t>
  </si>
  <si>
    <t>17h45</t>
  </si>
  <si>
    <t>9h35</t>
  </si>
  <si>
    <t>14h50</t>
  </si>
  <si>
    <t>10h10</t>
  </si>
  <si>
    <t>15h25</t>
  </si>
  <si>
    <t>10h45</t>
  </si>
  <si>
    <t>16h35</t>
  </si>
  <si>
    <t>12h05</t>
  </si>
  <si>
    <t>17h10</t>
  </si>
  <si>
    <t>18h20</t>
  </si>
  <si>
    <t>13h50</t>
  </si>
  <si>
    <t>15h35</t>
  </si>
  <si>
    <t>16h10</t>
  </si>
  <si>
    <t>16h45</t>
  </si>
  <si>
    <t>17h40</t>
  </si>
  <si>
    <t>matchs</t>
  </si>
  <si>
    <t>Cross-over</t>
  </si>
  <si>
    <t>Cross-over 1</t>
  </si>
  <si>
    <t>Cross-over 2</t>
  </si>
  <si>
    <t>1/2 finale 1</t>
  </si>
  <si>
    <t>1/2 finale 2</t>
  </si>
  <si>
    <t>1/2 finale 3</t>
  </si>
  <si>
    <t>1/2 finale 4</t>
  </si>
  <si>
    <t>Classement Aller</t>
  </si>
  <si>
    <t>Classement Retour</t>
  </si>
  <si>
    <t>Disctroy(es)</t>
  </si>
  <si>
    <t>Troyes</t>
  </si>
  <si>
    <t>2e A</t>
  </si>
  <si>
    <t>1er B</t>
  </si>
  <si>
    <t>3eB</t>
  </si>
  <si>
    <t>2eB</t>
  </si>
  <si>
    <t>1er A</t>
  </si>
  <si>
    <t>4eA</t>
  </si>
  <si>
    <t>3e A</t>
  </si>
  <si>
    <t>4eB</t>
  </si>
  <si>
    <t>Division</t>
  </si>
  <si>
    <t>Date</t>
  </si>
  <si>
    <t>Lieu</t>
  </si>
  <si>
    <t>Equipe 1</t>
  </si>
  <si>
    <t>Equipe 2</t>
  </si>
  <si>
    <t>Equipe 3</t>
  </si>
  <si>
    <t>Equipe 4</t>
  </si>
  <si>
    <t>Equipe 5</t>
  </si>
  <si>
    <t>Equipe 6</t>
  </si>
  <si>
    <t>ALLER à 6</t>
  </si>
  <si>
    <t>RETOUR à 6</t>
  </si>
  <si>
    <t>ALLER à 7</t>
  </si>
  <si>
    <t>RETOUR à 7</t>
  </si>
  <si>
    <t>ALLER à 4+4</t>
  </si>
  <si>
    <t>RETOUR à 4+4</t>
  </si>
  <si>
    <t>ALLER à 5</t>
  </si>
  <si>
    <t>RETOUR à 5</t>
  </si>
  <si>
    <t>Equipe 7</t>
  </si>
  <si>
    <t>Saison 2016-2017</t>
  </si>
  <si>
    <t>1/2 n°4</t>
  </si>
  <si>
    <t>10h35</t>
  </si>
  <si>
    <t>1/2 n°3</t>
  </si>
  <si>
    <t>11h10</t>
  </si>
  <si>
    <t>1/2 n°2</t>
  </si>
  <si>
    <t>1/2 n°1</t>
  </si>
  <si>
    <t>12h55</t>
  </si>
  <si>
    <t>13h30</t>
  </si>
  <si>
    <t>14h05</t>
  </si>
  <si>
    <r>
      <rPr>
        <b/>
        <sz val="14"/>
        <rFont val="Calibri"/>
        <family val="2"/>
      </rPr>
      <t>←</t>
    </r>
    <r>
      <rPr>
        <b/>
        <sz val="14"/>
        <rFont val="Arial"/>
        <family val="2"/>
      </rPr>
      <t xml:space="preserve"> Passez en mode calcul une fois les matchs de poule terminés</t>
    </r>
  </si>
  <si>
    <t>classement</t>
  </si>
  <si>
    <t>D2</t>
  </si>
  <si>
    <t>DR</t>
  </si>
  <si>
    <t>Equipe 8</t>
  </si>
  <si>
    <t>Poule de 8</t>
  </si>
  <si>
    <t>← Passez en mode calcul</t>
  </si>
  <si>
    <t>← Passez en mode calcul pour l'Aller</t>
  </si>
  <si>
    <t>← Passez en mode calcul pour le Retour</t>
  </si>
  <si>
    <r>
      <t>Adresse du gymnase :</t>
    </r>
    <r>
      <rPr>
        <sz val="10"/>
        <rFont val="Open Sans"/>
        <family val="2"/>
      </rPr>
      <t xml:space="preserve">
?</t>
    </r>
  </si>
  <si>
    <r>
      <t xml:space="preserve">Directeur de Tournoi : </t>
    </r>
    <r>
      <rPr>
        <b/>
        <sz val="10"/>
        <color theme="0"/>
        <rFont val="Open Sans"/>
        <family val="2"/>
      </rPr>
      <t>Prénom NOM</t>
    </r>
  </si>
  <si>
    <r>
      <rPr>
        <b/>
        <sz val="10"/>
        <color theme="0"/>
        <rFont val="Open Sans"/>
        <family val="2"/>
      </rPr>
      <t>06.XX.XX.XX.XX</t>
    </r>
    <r>
      <rPr>
        <sz val="10"/>
        <color theme="0"/>
        <rFont val="Open Sans"/>
        <family val="2"/>
      </rPr>
      <t xml:space="preserve"> / email</t>
    </r>
  </si>
  <si>
    <r>
      <t>Adresse du gymnase</t>
    </r>
    <r>
      <rPr>
        <sz val="10"/>
        <rFont val="Open Sans"/>
        <family val="2"/>
      </rPr>
      <t xml:space="preserve"> : </t>
    </r>
    <r>
      <rPr>
        <u/>
        <sz val="10"/>
        <rFont val="Open Sans"/>
        <family val="2"/>
      </rPr>
      <t xml:space="preserve">
</t>
    </r>
    <r>
      <rPr>
        <sz val="10"/>
        <rFont val="Open Sans"/>
        <family val="2"/>
      </rPr>
      <t xml:space="preserve">
?</t>
    </r>
  </si>
  <si>
    <r>
      <t xml:space="preserve">Adresse du gymnase :
</t>
    </r>
    <r>
      <rPr>
        <sz val="10"/>
        <rFont val="Open Sans"/>
        <family val="2"/>
      </rPr>
      <t xml:space="preserve">
?</t>
    </r>
  </si>
  <si>
    <r>
      <t xml:space="preserve">Adresse du gymnase :
</t>
    </r>
    <r>
      <rPr>
        <sz val="10"/>
        <rFont val="Open Sans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</si>
</sst>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&quot; €&quot;_-;\-* #,##0.00&quot; €&quot;_-;_-* \-??&quot; €&quot;_-;_-@_-"/>
    <numFmt numFmtId="166" formatCode="#,##0_ ;\-#,##0\ "/>
  </numFmts>
  <fonts count="76">
    <font>
      <sz val="10"/>
      <name val="Arial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4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61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61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color theme="0"/>
      <name val="Open Sans"/>
      <family val="2"/>
    </font>
    <font>
      <sz val="10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  <font>
      <b/>
      <sz val="10"/>
      <color indexed="10"/>
      <name val="Open Sans"/>
      <family val="2"/>
    </font>
    <font>
      <sz val="10"/>
      <color indexed="10"/>
      <name val="Open Sans"/>
      <family val="2"/>
    </font>
    <font>
      <i/>
      <sz val="10"/>
      <name val="Open Sans"/>
      <family val="2"/>
    </font>
    <font>
      <sz val="8"/>
      <color indexed="9"/>
      <name val="Open Sans"/>
      <family val="2"/>
    </font>
    <font>
      <sz val="10"/>
      <color indexed="9"/>
      <name val="Open Sans"/>
      <family val="2"/>
    </font>
    <font>
      <b/>
      <u/>
      <sz val="10"/>
      <name val="Open Sans"/>
      <family val="2"/>
    </font>
    <font>
      <sz val="10"/>
      <color indexed="12"/>
      <name val="Open Sans"/>
      <family val="2"/>
    </font>
    <font>
      <b/>
      <sz val="10"/>
      <color theme="0"/>
      <name val="Open Sans"/>
      <family val="2"/>
    </font>
    <font>
      <b/>
      <u/>
      <sz val="18"/>
      <name val="Open Sans"/>
      <family val="2"/>
    </font>
    <font>
      <b/>
      <sz val="18"/>
      <name val="Open Sans"/>
      <family val="2"/>
    </font>
    <font>
      <b/>
      <sz val="12"/>
      <name val="Open Sans"/>
      <family val="2"/>
    </font>
    <font>
      <b/>
      <sz val="10"/>
      <color indexed="9"/>
      <name val="Open Sans"/>
      <family val="2"/>
    </font>
    <font>
      <i/>
      <u/>
      <sz val="9"/>
      <color indexed="12"/>
      <name val="Open Sans"/>
      <family val="2"/>
    </font>
    <font>
      <i/>
      <sz val="9"/>
      <color indexed="12"/>
      <name val="Open Sans"/>
      <family val="2"/>
    </font>
    <font>
      <u/>
      <sz val="10"/>
      <name val="Open Sans"/>
      <family val="2"/>
    </font>
    <font>
      <i/>
      <sz val="9"/>
      <name val="Open Sans"/>
      <family val="2"/>
    </font>
    <font>
      <i/>
      <u/>
      <sz val="9"/>
      <name val="Open Sans"/>
      <family val="2"/>
    </font>
    <font>
      <b/>
      <i/>
      <sz val="8"/>
      <name val="Open Sans"/>
      <family val="2"/>
    </font>
    <font>
      <sz val="8"/>
      <name val="Open Sans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15"/>
      </patternFill>
    </fill>
    <fill>
      <patternFill patternType="solid">
        <fgColor indexed="54"/>
        <bgColor indexed="45"/>
      </patternFill>
    </fill>
    <fill>
      <patternFill patternType="solid">
        <fgColor indexed="42"/>
        <bgColor indexed="38"/>
      </patternFill>
    </fill>
    <fill>
      <patternFill patternType="solid">
        <fgColor indexed="46"/>
        <bgColor indexed="54"/>
      </patternFill>
    </fill>
    <fill>
      <patternFill patternType="solid">
        <fgColor indexed="41"/>
        <bgColor indexed="42"/>
      </patternFill>
    </fill>
    <fill>
      <patternFill patternType="solid">
        <fgColor indexed="25"/>
        <bgColor indexed="59"/>
      </patternFill>
    </fill>
    <fill>
      <patternFill patternType="solid">
        <fgColor indexed="44"/>
        <bgColor indexed="27"/>
      </patternFill>
    </fill>
    <fill>
      <patternFill patternType="solid">
        <fgColor indexed="29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34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1"/>
        <bgColor indexed="19"/>
      </patternFill>
    </fill>
    <fill>
      <patternFill patternType="solid">
        <fgColor indexed="22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44583"/>
        <bgColor indexed="64"/>
      </patternFill>
    </fill>
    <fill>
      <patternFill patternType="solid">
        <fgColor rgb="FFE4231B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7">
    <xf numFmtId="164" fontId="0" fillId="0" borderId="0"/>
    <xf numFmtId="164" fontId="9" fillId="2" borderId="0" applyNumberFormat="0" applyBorder="0" applyAlignment="0" applyProtection="0"/>
    <xf numFmtId="164" fontId="9" fillId="3" borderId="0" applyNumberFormat="0" applyBorder="0" applyAlignment="0" applyProtection="0"/>
    <xf numFmtId="164" fontId="9" fillId="4" borderId="0" applyNumberFormat="0" applyBorder="0" applyAlignment="0" applyProtection="0"/>
    <xf numFmtId="164" fontId="9" fillId="5" borderId="0" applyNumberFormat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9" fillId="8" borderId="0" applyNumberFormat="0" applyBorder="0" applyAlignment="0" applyProtection="0"/>
    <xf numFmtId="164" fontId="9" fillId="9" borderId="0" applyNumberFormat="0" applyBorder="0" applyAlignment="0" applyProtection="0"/>
    <xf numFmtId="164" fontId="9" fillId="10" borderId="0" applyNumberFormat="0" applyBorder="0" applyAlignment="0" applyProtection="0"/>
    <xf numFmtId="164" fontId="9" fillId="5" borderId="0" applyNumberFormat="0" applyBorder="0" applyAlignment="0" applyProtection="0"/>
    <xf numFmtId="164" fontId="9" fillId="8" borderId="0" applyNumberFormat="0" applyBorder="0" applyAlignment="0" applyProtection="0"/>
    <xf numFmtId="164" fontId="9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3" borderId="0" applyNumberFormat="0" applyBorder="0" applyAlignment="0" applyProtection="0"/>
    <xf numFmtId="164" fontId="10" fillId="14" borderId="0" applyNumberFormat="0" applyBorder="0" applyAlignment="0" applyProtection="0"/>
    <xf numFmtId="164" fontId="10" fillId="15" borderId="0" applyNumberFormat="0" applyBorder="0" applyAlignment="0" applyProtection="0"/>
    <xf numFmtId="164" fontId="15" fillId="3" borderId="0" applyNumberFormat="0" applyBorder="0" applyAlignment="0" applyProtection="0"/>
    <xf numFmtId="164" fontId="12" fillId="16" borderId="1" applyNumberFormat="0" applyAlignment="0" applyProtection="0"/>
    <xf numFmtId="164" fontId="24" fillId="17" borderId="3" applyNumberFormat="0" applyAlignment="0" applyProtection="0"/>
    <xf numFmtId="164" fontId="3" fillId="0" borderId="0" applyFont="0" applyFill="0" applyBorder="0" applyAlignment="0" applyProtection="0"/>
    <xf numFmtId="164" fontId="19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21" fillId="0" borderId="5" applyNumberFormat="0" applyFill="0" applyAlignment="0" applyProtection="0"/>
    <xf numFmtId="164" fontId="22" fillId="0" borderId="6" applyNumberFormat="0" applyFill="0" applyAlignment="0" applyProtection="0"/>
    <xf numFmtId="164" fontId="23" fillId="0" borderId="7" applyNumberFormat="0" applyFill="0" applyAlignment="0" applyProtection="0"/>
    <xf numFmtId="164" fontId="23" fillId="0" borderId="0" applyNumberFormat="0" applyFill="0" applyBorder="0" applyAlignment="0" applyProtection="0"/>
    <xf numFmtId="164" fontId="14" fillId="7" borderId="1" applyNumberFormat="0" applyAlignment="0" applyProtection="0"/>
    <xf numFmtId="164" fontId="13" fillId="0" borderId="2" applyNumberFormat="0" applyFill="0" applyAlignment="0" applyProtection="0"/>
    <xf numFmtId="164" fontId="16" fillId="19" borderId="0" applyNumberFormat="0" applyBorder="0" applyAlignment="0" applyProtection="0"/>
    <xf numFmtId="164" fontId="9" fillId="18" borderId="4" applyNumberFormat="0" applyFont="0" applyAlignment="0" applyProtection="0"/>
    <xf numFmtId="164" fontId="18" fillId="16" borderId="8" applyNumberFormat="0" applyAlignment="0" applyProtection="0"/>
    <xf numFmtId="164" fontId="2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3" fillId="0" borderId="0"/>
    <xf numFmtId="164" fontId="3" fillId="0" borderId="0"/>
    <xf numFmtId="164" fontId="18" fillId="16" borderId="57" applyNumberFormat="0" applyAlignment="0" applyProtection="0"/>
    <xf numFmtId="164" fontId="18" fillId="16" borderId="51" applyNumberFormat="0" applyAlignment="0" applyProtection="0"/>
    <xf numFmtId="164" fontId="14" fillId="7" borderId="55" applyNumberFormat="0" applyAlignment="0" applyProtection="0"/>
    <xf numFmtId="164" fontId="14" fillId="7" borderId="49" applyNumberFormat="0" applyAlignment="0" applyProtection="0"/>
    <xf numFmtId="164" fontId="9" fillId="18" borderId="59" applyNumberFormat="0" applyFont="0" applyAlignment="0" applyProtection="0"/>
    <xf numFmtId="164" fontId="14" fillId="7" borderId="58" applyNumberFormat="0" applyAlignment="0" applyProtection="0"/>
    <xf numFmtId="164" fontId="12" fillId="16" borderId="55" applyNumberFormat="0" applyAlignment="0" applyProtection="0"/>
    <xf numFmtId="164" fontId="12" fillId="16" borderId="49" applyNumberFormat="0" applyAlignment="0" applyProtection="0"/>
    <xf numFmtId="164" fontId="12" fillId="16" borderId="52" applyNumberFormat="0" applyAlignment="0" applyProtection="0"/>
    <xf numFmtId="164" fontId="12" fillId="16" borderId="46" applyNumberFormat="0" applyAlignment="0" applyProtection="0"/>
    <xf numFmtId="164" fontId="14" fillId="7" borderId="52" applyNumberFormat="0" applyAlignment="0" applyProtection="0"/>
    <xf numFmtId="164" fontId="9" fillId="18" borderId="53" applyNumberFormat="0" applyFont="0" applyAlignment="0" applyProtection="0"/>
    <xf numFmtId="164" fontId="18" fillId="16" borderId="54" applyNumberFormat="0" applyAlignment="0" applyProtection="0"/>
    <xf numFmtId="164" fontId="14" fillId="7" borderId="46" applyNumberFormat="0" applyAlignment="0" applyProtection="0"/>
    <xf numFmtId="164" fontId="9" fillId="18" borderId="56" applyNumberFormat="0" applyFont="0" applyAlignment="0" applyProtection="0"/>
    <xf numFmtId="164" fontId="9" fillId="18" borderId="47" applyNumberFormat="0" applyFont="0" applyAlignment="0" applyProtection="0"/>
    <xf numFmtId="164" fontId="18" fillId="16" borderId="48" applyNumberFormat="0" applyAlignment="0" applyProtection="0"/>
    <xf numFmtId="164" fontId="12" fillId="16" borderId="58" applyNumberFormat="0" applyAlignment="0" applyProtection="0"/>
    <xf numFmtId="44" fontId="3" fillId="0" borderId="0" applyFont="0" applyFill="0" applyBorder="0" applyAlignment="0" applyProtection="0"/>
    <xf numFmtId="164" fontId="18" fillId="16" borderId="60" applyNumberFormat="0" applyAlignment="0" applyProtection="0"/>
    <xf numFmtId="164" fontId="9" fillId="18" borderId="50" applyNumberFormat="0" applyFont="0" applyAlignment="0" applyProtection="0"/>
    <xf numFmtId="0" fontId="34" fillId="0" borderId="0"/>
    <xf numFmtId="0" fontId="3" fillId="0" borderId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1" borderId="0" applyNumberFormat="0" applyBorder="0" applyAlignment="0" applyProtection="0"/>
    <xf numFmtId="0" fontId="35" fillId="34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29" borderId="0" applyNumberFormat="0" applyBorder="0" applyAlignment="0" applyProtection="0"/>
    <xf numFmtId="0" fontId="38" fillId="42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38" fillId="42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38" fillId="42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38" fillId="42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38" fillId="42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38" fillId="42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12" fillId="16" borderId="75" applyNumberFormat="0" applyAlignment="0" applyProtection="0"/>
    <xf numFmtId="0" fontId="38" fillId="42" borderId="75" applyNumberFormat="0" applyAlignment="0" applyProtection="0"/>
    <xf numFmtId="0" fontId="39" fillId="43" borderId="3" applyNumberFormat="0" applyAlignment="0" applyProtection="0"/>
    <xf numFmtId="0" fontId="4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46" fillId="33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46" fillId="33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46" fillId="33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46" fillId="33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46" fillId="33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14" fillId="7" borderId="75" applyNumberFormat="0" applyAlignment="0" applyProtection="0"/>
    <xf numFmtId="0" fontId="46" fillId="33" borderId="75" applyNumberFormat="0" applyAlignment="0" applyProtection="0"/>
    <xf numFmtId="0" fontId="47" fillId="0" borderId="76" applyNumberFormat="0" applyFill="0" applyAlignment="0" applyProtection="0"/>
    <xf numFmtId="165" fontId="40" fillId="0" borderId="0" applyFill="0" applyBorder="0" applyAlignment="0" applyProtection="0"/>
    <xf numFmtId="0" fontId="48" fillId="44" borderId="0" applyNumberFormat="0" applyBorder="0" applyAlignment="0" applyProtection="0"/>
    <xf numFmtId="0" fontId="2" fillId="0" borderId="0"/>
    <xf numFmtId="0" fontId="35" fillId="0" borderId="0"/>
    <xf numFmtId="0" fontId="49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" fillId="0" borderId="0"/>
    <xf numFmtId="0" fontId="49" fillId="0" borderId="0"/>
    <xf numFmtId="0" fontId="40" fillId="45" borderId="77" applyNumberForma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40" fillId="45" borderId="77" applyNumberForma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40" fillId="45" borderId="77" applyNumberForma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40" fillId="45" borderId="77" applyNumberForma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40" fillId="45" borderId="77" applyNumberForma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40" fillId="45" borderId="77" applyNumberForma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9" fillId="18" borderId="77" applyNumberFormat="0" applyFont="0" applyAlignment="0" applyProtection="0"/>
    <xf numFmtId="0" fontId="40" fillId="45" borderId="77" applyNumberFormat="0" applyAlignment="0" applyProtection="0"/>
    <xf numFmtId="0" fontId="50" fillId="42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50" fillId="42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50" fillId="42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50" fillId="42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50" fillId="42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50" fillId="42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18" fillId="16" borderId="78" applyNumberFormat="0" applyAlignment="0" applyProtection="0"/>
    <xf numFmtId="0" fontId="50" fillId="42" borderId="78" applyNumberFormat="0" applyAlignment="0" applyProtection="0"/>
    <xf numFmtId="9" fontId="3" fillId="0" borderId="0" applyFont="0" applyFill="0" applyBorder="0" applyAlignment="0" applyProtection="0"/>
    <xf numFmtId="9" fontId="40" fillId="0" borderId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14">
    <xf numFmtId="164" fontId="0" fillId="0" borderId="0" xfId="0"/>
    <xf numFmtId="164" fontId="5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23" borderId="0" xfId="0" applyFont="1" applyFill="1" applyBorder="1" applyAlignment="1">
      <alignment horizontal="center"/>
    </xf>
    <xf numFmtId="164" fontId="4" fillId="23" borderId="9" xfId="0" applyFont="1" applyFill="1" applyBorder="1" applyAlignment="1">
      <alignment horizontal="center"/>
    </xf>
    <xf numFmtId="164" fontId="5" fillId="23" borderId="0" xfId="0" applyFont="1" applyFill="1" applyBorder="1" applyAlignment="1">
      <alignment horizontal="center"/>
    </xf>
    <xf numFmtId="164" fontId="5" fillId="23" borderId="0" xfId="0" applyFont="1" applyFill="1" applyAlignment="1">
      <alignment horizontal="center"/>
    </xf>
    <xf numFmtId="164" fontId="3" fillId="23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0" fontId="34" fillId="0" borderId="0" xfId="59"/>
    <xf numFmtId="0" fontId="3" fillId="0" borderId="0" xfId="59" applyFont="1"/>
    <xf numFmtId="0" fontId="4" fillId="20" borderId="64" xfId="59" applyFont="1" applyFill="1" applyBorder="1" applyAlignment="1">
      <alignment horizontal="center"/>
    </xf>
    <xf numFmtId="0" fontId="34" fillId="22" borderId="0" xfId="59" applyFill="1" applyAlignment="1">
      <alignment horizontal="center"/>
    </xf>
    <xf numFmtId="0" fontId="3" fillId="23" borderId="0" xfId="59" applyFont="1" applyFill="1"/>
    <xf numFmtId="0" fontId="8" fillId="23" borderId="0" xfId="59" quotePrefix="1" applyFont="1" applyFill="1" applyBorder="1" applyAlignment="1">
      <alignment horizontal="center"/>
    </xf>
    <xf numFmtId="0" fontId="8" fillId="23" borderId="0" xfId="59" applyFont="1" applyFill="1" applyAlignment="1">
      <alignment horizontal="center"/>
    </xf>
    <xf numFmtId="0" fontId="34" fillId="22" borderId="0" xfId="59" applyFill="1"/>
    <xf numFmtId="0" fontId="28" fillId="23" borderId="0" xfId="59" applyFont="1" applyFill="1" applyBorder="1" applyAlignment="1">
      <alignment horizontal="center"/>
    </xf>
    <xf numFmtId="0" fontId="34" fillId="23" borderId="0" xfId="59" applyFill="1"/>
    <xf numFmtId="0" fontId="7" fillId="23" borderId="0" xfId="59" applyFont="1" applyFill="1" applyBorder="1" applyAlignment="1">
      <alignment horizontal="center"/>
    </xf>
    <xf numFmtId="0" fontId="26" fillId="20" borderId="64" xfId="59" applyFont="1" applyFill="1" applyBorder="1" applyAlignment="1">
      <alignment horizontal="center"/>
    </xf>
    <xf numFmtId="0" fontId="3" fillId="20" borderId="64" xfId="59" applyFont="1" applyFill="1" applyBorder="1" applyAlignment="1">
      <alignment horizontal="center"/>
    </xf>
    <xf numFmtId="0" fontId="26" fillId="0" borderId="0" xfId="59" applyFont="1" applyFill="1" applyBorder="1" applyAlignment="1">
      <alignment horizontal="center"/>
    </xf>
    <xf numFmtId="0" fontId="34" fillId="0" borderId="64" xfId="59" applyFill="1" applyBorder="1" applyAlignment="1">
      <alignment horizontal="center"/>
    </xf>
    <xf numFmtId="0" fontId="34" fillId="23" borderId="64" xfId="59" applyFill="1" applyBorder="1" applyAlignment="1">
      <alignment horizontal="center"/>
    </xf>
    <xf numFmtId="166" fontId="54" fillId="21" borderId="0" xfId="0" applyNumberFormat="1" applyFont="1" applyFill="1"/>
    <xf numFmtId="166" fontId="54" fillId="0" borderId="0" xfId="0" applyNumberFormat="1" applyFont="1"/>
    <xf numFmtId="166" fontId="54" fillId="23" borderId="0" xfId="0" applyNumberFormat="1" applyFont="1" applyFill="1"/>
    <xf numFmtId="166" fontId="54" fillId="23" borderId="64" xfId="0" applyNumberFormat="1" applyFont="1" applyFill="1" applyBorder="1"/>
    <xf numFmtId="166" fontId="57" fillId="22" borderId="0" xfId="0" applyNumberFormat="1" applyFont="1" applyFill="1" applyBorder="1" applyAlignment="1">
      <alignment horizontal="center"/>
    </xf>
    <xf numFmtId="166" fontId="58" fillId="22" borderId="0" xfId="0" applyNumberFormat="1" applyFont="1" applyFill="1" applyAlignment="1">
      <alignment horizontal="center"/>
    </xf>
    <xf numFmtId="166" fontId="56" fillId="0" borderId="64" xfId="0" applyNumberFormat="1" applyFont="1" applyFill="1" applyBorder="1" applyAlignment="1">
      <alignment horizontal="center"/>
    </xf>
    <xf numFmtId="166" fontId="54" fillId="23" borderId="64" xfId="0" applyNumberFormat="1" applyFont="1" applyFill="1" applyBorder="1" applyAlignment="1">
      <alignment horizontal="center"/>
    </xf>
    <xf numFmtId="166" fontId="54" fillId="24" borderId="64" xfId="0" applyNumberFormat="1" applyFont="1" applyFill="1" applyBorder="1" applyAlignment="1"/>
    <xf numFmtId="166" fontId="54" fillId="23" borderId="64" xfId="0" quotePrefix="1" applyNumberFormat="1" applyFont="1" applyFill="1" applyBorder="1" applyAlignment="1">
      <alignment horizontal="center"/>
    </xf>
    <xf numFmtId="166" fontId="58" fillId="22" borderId="0" xfId="0" quotePrefix="1" applyNumberFormat="1" applyFont="1" applyFill="1" applyBorder="1" applyAlignment="1">
      <alignment horizontal="center"/>
    </xf>
    <xf numFmtId="166" fontId="54" fillId="20" borderId="64" xfId="0" quotePrefix="1" applyNumberFormat="1" applyFont="1" applyFill="1" applyBorder="1" applyAlignment="1">
      <alignment horizontal="center"/>
    </xf>
    <xf numFmtId="166" fontId="54" fillId="20" borderId="64" xfId="0" applyNumberFormat="1" applyFont="1" applyFill="1" applyBorder="1" applyAlignment="1">
      <alignment horizontal="center"/>
    </xf>
    <xf numFmtId="166" fontId="54" fillId="24" borderId="64" xfId="0" applyNumberFormat="1" applyFont="1" applyFill="1" applyBorder="1" applyAlignment="1">
      <alignment horizontal="center"/>
    </xf>
    <xf numFmtId="166" fontId="54" fillId="23" borderId="0" xfId="0" applyNumberFormat="1" applyFont="1" applyFill="1" applyBorder="1"/>
    <xf numFmtId="166" fontId="54" fillId="22" borderId="0" xfId="0" applyNumberFormat="1" applyFont="1" applyFill="1"/>
    <xf numFmtId="166" fontId="54" fillId="0" borderId="0" xfId="0" applyNumberFormat="1" applyFont="1" applyFill="1"/>
    <xf numFmtId="166" fontId="54" fillId="0" borderId="0" xfId="0" applyNumberFormat="1" applyFont="1" applyFill="1" applyAlignment="1">
      <alignment horizontal="center"/>
    </xf>
    <xf numFmtId="166" fontId="56" fillId="23" borderId="64" xfId="0" applyNumberFormat="1" applyFont="1" applyFill="1" applyBorder="1" applyAlignment="1">
      <alignment horizontal="center"/>
    </xf>
    <xf numFmtId="166" fontId="54" fillId="0" borderId="64" xfId="0" quotePrefix="1" applyNumberFormat="1" applyFont="1" applyFill="1" applyBorder="1" applyAlignment="1">
      <alignment horizontal="center"/>
    </xf>
    <xf numFmtId="166" fontId="54" fillId="0" borderId="64" xfId="0" applyNumberFormat="1" applyFont="1" applyBorder="1" applyAlignment="1">
      <alignment horizontal="center"/>
    </xf>
    <xf numFmtId="166" fontId="56" fillId="0" borderId="64" xfId="0" applyNumberFormat="1" applyFont="1" applyBorder="1" applyAlignment="1">
      <alignment horizontal="center"/>
    </xf>
    <xf numFmtId="166" fontId="59" fillId="20" borderId="64" xfId="0" applyNumberFormat="1" applyFont="1" applyFill="1" applyBorder="1" applyAlignment="1">
      <alignment horizontal="center"/>
    </xf>
    <xf numFmtId="166" fontId="54" fillId="0" borderId="64" xfId="0" applyNumberFormat="1" applyFont="1" applyFill="1" applyBorder="1" applyAlignment="1">
      <alignment horizontal="center"/>
    </xf>
    <xf numFmtId="166" fontId="56" fillId="0" borderId="0" xfId="0" applyNumberFormat="1" applyFont="1" applyFill="1" applyBorder="1" applyAlignment="1">
      <alignment horizontal="center"/>
    </xf>
    <xf numFmtId="166" fontId="59" fillId="0" borderId="0" xfId="0" applyNumberFormat="1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left"/>
    </xf>
    <xf numFmtId="166" fontId="54" fillId="0" borderId="64" xfId="0" applyNumberFormat="1" applyFont="1" applyFill="1" applyBorder="1"/>
    <xf numFmtId="166" fontId="57" fillId="0" borderId="0" xfId="0" applyNumberFormat="1" applyFont="1" applyFill="1" applyBorder="1" applyAlignment="1">
      <alignment horizontal="center"/>
    </xf>
    <xf numFmtId="166" fontId="58" fillId="0" borderId="0" xfId="0" applyNumberFormat="1" applyFont="1" applyFill="1" applyAlignment="1">
      <alignment horizontal="center"/>
    </xf>
    <xf numFmtId="166" fontId="54" fillId="22" borderId="0" xfId="0" applyNumberFormat="1" applyFont="1" applyFill="1" applyAlignment="1">
      <alignment horizontal="center"/>
    </xf>
    <xf numFmtId="166" fontId="56" fillId="23" borderId="0" xfId="0" applyNumberFormat="1" applyFont="1" applyFill="1" applyBorder="1" applyAlignment="1">
      <alignment horizontal="center"/>
    </xf>
    <xf numFmtId="166" fontId="59" fillId="22" borderId="0" xfId="0" applyNumberFormat="1" applyFont="1" applyFill="1" applyBorder="1" applyAlignment="1">
      <alignment horizontal="center"/>
    </xf>
    <xf numFmtId="166" fontId="54" fillId="22" borderId="0" xfId="0" applyNumberFormat="1" applyFont="1" applyFill="1" applyBorder="1" applyAlignment="1">
      <alignment horizontal="center"/>
    </xf>
    <xf numFmtId="166" fontId="56" fillId="22" borderId="0" xfId="0" applyNumberFormat="1" applyFont="1" applyFill="1" applyBorder="1" applyAlignment="1">
      <alignment horizontal="center"/>
    </xf>
    <xf numFmtId="166" fontId="54" fillId="22" borderId="0" xfId="0" applyNumberFormat="1" applyFont="1" applyFill="1" applyBorder="1" applyAlignment="1">
      <alignment horizontal="left"/>
    </xf>
    <xf numFmtId="166" fontId="56" fillId="0" borderId="0" xfId="0" applyNumberFormat="1" applyFont="1"/>
    <xf numFmtId="166" fontId="61" fillId="22" borderId="0" xfId="0" applyNumberFormat="1" applyFont="1" applyFill="1"/>
    <xf numFmtId="166" fontId="54" fillId="0" borderId="64" xfId="0" applyNumberFormat="1" applyFont="1" applyBorder="1"/>
    <xf numFmtId="166" fontId="54" fillId="26" borderId="64" xfId="0" applyNumberFormat="1" applyFont="1" applyFill="1" applyBorder="1" applyAlignment="1">
      <alignment horizontal="center"/>
    </xf>
    <xf numFmtId="166" fontId="1" fillId="25" borderId="64" xfId="0" applyNumberFormat="1" applyFont="1" applyFill="1" applyBorder="1" applyAlignment="1"/>
    <xf numFmtId="166" fontId="54" fillId="25" borderId="64" xfId="0" applyNumberFormat="1" applyFont="1" applyFill="1" applyBorder="1" applyAlignment="1"/>
    <xf numFmtId="166" fontId="54" fillId="22" borderId="0" xfId="0" applyNumberFormat="1" applyFont="1" applyFill="1" applyBorder="1"/>
    <xf numFmtId="166" fontId="56" fillId="20" borderId="64" xfId="0" applyNumberFormat="1" applyFont="1" applyFill="1" applyBorder="1" applyAlignment="1">
      <alignment horizontal="center"/>
    </xf>
    <xf numFmtId="166" fontId="54" fillId="22" borderId="0" xfId="36" applyNumberFormat="1" applyFont="1" applyFill="1"/>
    <xf numFmtId="166" fontId="54" fillId="22" borderId="0" xfId="36" applyNumberFormat="1" applyFont="1" applyFill="1" applyAlignment="1">
      <alignment horizontal="center"/>
    </xf>
    <xf numFmtId="166" fontId="54" fillId="0" borderId="0" xfId="36" applyNumberFormat="1" applyFont="1"/>
    <xf numFmtId="166" fontId="54" fillId="23" borderId="0" xfId="36" applyNumberFormat="1" applyFont="1" applyFill="1"/>
    <xf numFmtId="166" fontId="57" fillId="22" borderId="0" xfId="36" applyNumberFormat="1" applyFont="1" applyFill="1" applyBorder="1" applyAlignment="1">
      <alignment horizontal="center"/>
    </xf>
    <xf numFmtId="166" fontId="58" fillId="22" borderId="0" xfId="36" applyNumberFormat="1" applyFont="1" applyFill="1" applyAlignment="1">
      <alignment horizontal="center"/>
    </xf>
    <xf numFmtId="166" fontId="58" fillId="22" borderId="0" xfId="36" quotePrefix="1" applyNumberFormat="1" applyFont="1" applyFill="1" applyBorder="1" applyAlignment="1">
      <alignment horizontal="center"/>
    </xf>
    <xf numFmtId="166" fontId="54" fillId="23" borderId="0" xfId="36" applyNumberFormat="1" applyFont="1" applyFill="1" applyBorder="1"/>
    <xf numFmtId="166" fontId="60" fillId="22" borderId="0" xfId="36" applyNumberFormat="1" applyFont="1" applyFill="1"/>
    <xf numFmtId="166" fontId="56" fillId="23" borderId="0" xfId="36" applyNumberFormat="1" applyFont="1" applyFill="1" applyBorder="1" applyAlignment="1">
      <alignment horizontal="center"/>
    </xf>
    <xf numFmtId="166" fontId="59" fillId="22" borderId="0" xfId="36" applyNumberFormat="1" applyFont="1" applyFill="1" applyBorder="1" applyAlignment="1">
      <alignment horizontal="center"/>
    </xf>
    <xf numFmtId="166" fontId="54" fillId="22" borderId="0" xfId="36" applyNumberFormat="1" applyFont="1" applyFill="1" applyBorder="1" applyAlignment="1">
      <alignment horizontal="center"/>
    </xf>
    <xf numFmtId="166" fontId="56" fillId="22" borderId="0" xfId="36" applyNumberFormat="1" applyFont="1" applyFill="1" applyBorder="1" applyAlignment="1">
      <alignment horizontal="center"/>
    </xf>
    <xf numFmtId="166" fontId="54" fillId="22" borderId="0" xfId="36" applyNumberFormat="1" applyFont="1" applyFill="1" applyBorder="1" applyAlignment="1">
      <alignment horizontal="left"/>
    </xf>
    <xf numFmtId="166" fontId="54" fillId="0" borderId="0" xfId="36" applyNumberFormat="1" applyFont="1" applyFill="1"/>
    <xf numFmtId="166" fontId="56" fillId="0" borderId="66" xfId="36" applyNumberFormat="1" applyFont="1" applyFill="1" applyBorder="1" applyAlignment="1">
      <alignment horizontal="center"/>
    </xf>
    <xf numFmtId="166" fontId="54" fillId="23" borderId="64" xfId="36" applyNumberFormat="1" applyFont="1" applyFill="1" applyBorder="1"/>
    <xf numFmtId="166" fontId="54" fillId="23" borderId="64" xfId="36" applyNumberFormat="1" applyFont="1" applyFill="1" applyBorder="1" applyAlignment="1">
      <alignment horizontal="center"/>
    </xf>
    <xf numFmtId="166" fontId="54" fillId="24" borderId="64" xfId="36" applyNumberFormat="1" applyFont="1" applyFill="1" applyBorder="1" applyAlignment="1"/>
    <xf numFmtId="166" fontId="54" fillId="23" borderId="64" xfId="36" quotePrefix="1" applyNumberFormat="1" applyFont="1" applyFill="1" applyBorder="1" applyAlignment="1">
      <alignment horizontal="center"/>
    </xf>
    <xf numFmtId="166" fontId="54" fillId="20" borderId="64" xfId="36" quotePrefix="1" applyNumberFormat="1" applyFont="1" applyFill="1" applyBorder="1" applyAlignment="1">
      <alignment horizontal="center"/>
    </xf>
    <xf numFmtId="166" fontId="54" fillId="20" borderId="64" xfId="36" applyNumberFormat="1" applyFont="1" applyFill="1" applyBorder="1" applyAlignment="1">
      <alignment horizontal="center"/>
    </xf>
    <xf numFmtId="166" fontId="54" fillId="24" borderId="64" xfId="36" applyNumberFormat="1" applyFont="1" applyFill="1" applyBorder="1" applyAlignment="1">
      <alignment horizontal="center"/>
    </xf>
    <xf numFmtId="166" fontId="56" fillId="23" borderId="64" xfId="36" applyNumberFormat="1" applyFont="1" applyFill="1" applyBorder="1" applyAlignment="1">
      <alignment horizontal="center"/>
    </xf>
    <xf numFmtId="166" fontId="54" fillId="0" borderId="64" xfId="36" quotePrefix="1" applyNumberFormat="1" applyFont="1" applyFill="1" applyBorder="1" applyAlignment="1">
      <alignment horizontal="center"/>
    </xf>
    <xf numFmtId="166" fontId="54" fillId="0" borderId="64" xfId="36" applyNumberFormat="1" applyFont="1" applyBorder="1" applyAlignment="1">
      <alignment horizontal="center"/>
    </xf>
    <xf numFmtId="166" fontId="56" fillId="0" borderId="64" xfId="36" applyNumberFormat="1" applyFont="1" applyBorder="1" applyAlignment="1">
      <alignment horizontal="center"/>
    </xf>
    <xf numFmtId="166" fontId="59" fillId="20" borderId="64" xfId="36" applyNumberFormat="1" applyFont="1" applyFill="1" applyBorder="1" applyAlignment="1">
      <alignment horizontal="center"/>
    </xf>
    <xf numFmtId="166" fontId="54" fillId="0" borderId="64" xfId="36" applyNumberFormat="1" applyFont="1" applyFill="1" applyBorder="1" applyAlignment="1">
      <alignment horizontal="center"/>
    </xf>
    <xf numFmtId="166" fontId="54" fillId="0" borderId="0" xfId="36" applyNumberFormat="1" applyFont="1" applyAlignment="1">
      <alignment horizontal="center"/>
    </xf>
    <xf numFmtId="1" fontId="54" fillId="21" borderId="0" xfId="0" applyNumberFormat="1" applyFont="1" applyFill="1" applyProtection="1">
      <protection locked="0"/>
    </xf>
    <xf numFmtId="1" fontId="56" fillId="0" borderId="0" xfId="0" applyNumberFormat="1" applyFont="1"/>
    <xf numFmtId="1" fontId="54" fillId="0" borderId="0" xfId="0" applyNumberFormat="1" applyFont="1"/>
    <xf numFmtId="1" fontId="62" fillId="0" borderId="0" xfId="0" applyNumberFormat="1" applyFont="1" applyAlignment="1">
      <alignment horizontal="left" vertical="center"/>
    </xf>
    <xf numFmtId="1" fontId="54" fillId="22" borderId="0" xfId="0" applyNumberFormat="1" applyFont="1" applyFill="1"/>
    <xf numFmtId="1" fontId="54" fillId="22" borderId="0" xfId="0" applyNumberFormat="1" applyFont="1" applyFill="1" applyAlignment="1">
      <alignment horizontal="center"/>
    </xf>
    <xf numFmtId="1" fontId="57" fillId="22" borderId="0" xfId="0" applyNumberFormat="1" applyFont="1" applyFill="1" applyBorder="1" applyAlignment="1">
      <alignment horizontal="center"/>
    </xf>
    <xf numFmtId="1" fontId="58" fillId="22" borderId="0" xfId="0" applyNumberFormat="1" applyFont="1" applyFill="1" applyAlignment="1">
      <alignment horizontal="center"/>
    </xf>
    <xf numFmtId="1" fontId="58" fillId="22" borderId="0" xfId="0" quotePrefix="1" applyNumberFormat="1" applyFont="1" applyFill="1" applyBorder="1" applyAlignment="1">
      <alignment horizontal="center"/>
    </xf>
    <xf numFmtId="1" fontId="54" fillId="22" borderId="0" xfId="0" applyNumberFormat="1" applyFont="1" applyFill="1" applyBorder="1"/>
    <xf numFmtId="1" fontId="59" fillId="22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 applyProtection="1">
      <alignment horizontal="center"/>
      <protection locked="0"/>
    </xf>
    <xf numFmtId="1" fontId="54" fillId="0" borderId="0" xfId="0" quotePrefix="1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Border="1"/>
    <xf numFmtId="1" fontId="58" fillId="0" borderId="0" xfId="0" quotePrefix="1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/>
    <xf numFmtId="1" fontId="54" fillId="0" borderId="0" xfId="0" applyNumberFormat="1" applyFont="1" applyFill="1" applyBorder="1" applyAlignment="1"/>
    <xf numFmtId="1" fontId="54" fillId="0" borderId="0" xfId="0" applyNumberFormat="1" applyFont="1" applyFill="1"/>
    <xf numFmtId="1" fontId="54" fillId="0" borderId="64" xfId="0" applyNumberFormat="1" applyFont="1" applyBorder="1" applyAlignment="1">
      <alignment horizontal="center"/>
    </xf>
    <xf numFmtId="1" fontId="54" fillId="0" borderId="64" xfId="0" applyNumberFormat="1" applyFont="1" applyFill="1" applyBorder="1" applyAlignment="1">
      <alignment horizontal="center"/>
    </xf>
    <xf numFmtId="1" fontId="54" fillId="24" borderId="64" xfId="0" applyNumberFormat="1" applyFont="1" applyFill="1" applyBorder="1" applyAlignment="1"/>
    <xf numFmtId="1" fontId="54" fillId="23" borderId="64" xfId="0" quotePrefix="1" applyNumberFormat="1" applyFont="1" applyFill="1" applyBorder="1" applyAlignment="1" applyProtection="1">
      <alignment horizontal="center"/>
      <protection locked="0"/>
    </xf>
    <xf numFmtId="1" fontId="54" fillId="20" borderId="64" xfId="0" quotePrefix="1" applyNumberFormat="1" applyFont="1" applyFill="1" applyBorder="1" applyAlignment="1">
      <alignment horizontal="center"/>
    </xf>
    <xf numFmtId="1" fontId="56" fillId="0" borderId="64" xfId="0" applyNumberFormat="1" applyFont="1" applyFill="1" applyBorder="1" applyAlignment="1">
      <alignment horizontal="center"/>
    </xf>
    <xf numFmtId="1" fontId="54" fillId="0" borderId="64" xfId="0" quotePrefix="1" applyNumberFormat="1" applyFont="1" applyFill="1" applyBorder="1" applyAlignment="1">
      <alignment horizontal="center"/>
    </xf>
    <xf numFmtId="1" fontId="56" fillId="0" borderId="64" xfId="0" applyNumberFormat="1" applyFont="1" applyBorder="1" applyAlignment="1">
      <alignment horizontal="center"/>
    </xf>
    <xf numFmtId="1" fontId="56" fillId="20" borderId="64" xfId="0" applyNumberFormat="1" applyFont="1" applyFill="1" applyBorder="1" applyAlignment="1">
      <alignment horizontal="center"/>
    </xf>
    <xf numFmtId="1" fontId="59" fillId="20" borderId="64" xfId="0" applyNumberFormat="1" applyFont="1" applyFill="1" applyBorder="1" applyAlignment="1">
      <alignment horizontal="center"/>
    </xf>
    <xf numFmtId="1" fontId="54" fillId="20" borderId="64" xfId="0" applyNumberFormat="1" applyFont="1" applyFill="1" applyBorder="1" applyAlignment="1">
      <alignment horizontal="center"/>
    </xf>
    <xf numFmtId="1" fontId="54" fillId="23" borderId="64" xfId="0" applyNumberFormat="1" applyFont="1" applyFill="1" applyBorder="1" applyAlignment="1">
      <alignment horizontal="center"/>
    </xf>
    <xf numFmtId="1" fontId="56" fillId="0" borderId="66" xfId="0" applyNumberFormat="1" applyFont="1" applyFill="1" applyBorder="1" applyAlignment="1" applyProtection="1">
      <alignment horizontal="center"/>
      <protection locked="0"/>
    </xf>
    <xf numFmtId="1" fontId="56" fillId="0" borderId="66" xfId="0" applyNumberFormat="1" applyFont="1" applyFill="1" applyBorder="1" applyAlignment="1">
      <alignment horizontal="center"/>
    </xf>
    <xf numFmtId="1" fontId="54" fillId="22" borderId="64" xfId="0" applyNumberFormat="1" applyFont="1" applyFill="1" applyBorder="1" applyAlignment="1">
      <alignment horizontal="center"/>
    </xf>
    <xf numFmtId="1" fontId="54" fillId="0" borderId="0" xfId="0" applyNumberFormat="1" applyFont="1" applyFill="1" applyAlignment="1">
      <alignment horizontal="center"/>
    </xf>
    <xf numFmtId="1" fontId="61" fillId="0" borderId="0" xfId="0" applyNumberFormat="1" applyFont="1" applyFill="1"/>
    <xf numFmtId="1" fontId="54" fillId="0" borderId="66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1" fontId="62" fillId="0" borderId="0" xfId="0" applyNumberFormat="1" applyFont="1" applyFill="1" applyAlignment="1">
      <alignment horizontal="left" vertical="center"/>
    </xf>
    <xf numFmtId="0" fontId="34" fillId="0" borderId="0" xfId="59" applyFill="1" applyProtection="1">
      <protection locked="0"/>
    </xf>
    <xf numFmtId="0" fontId="31" fillId="0" borderId="0" xfId="59" applyFont="1" applyFill="1"/>
    <xf numFmtId="0" fontId="34" fillId="0" borderId="0" xfId="59" applyFill="1" applyAlignment="1">
      <alignment horizontal="center"/>
    </xf>
    <xf numFmtId="0" fontId="34" fillId="0" borderId="0" xfId="59" applyFill="1"/>
    <xf numFmtId="0" fontId="27" fillId="0" borderId="0" xfId="59" applyFont="1" applyFill="1" applyBorder="1" applyAlignment="1">
      <alignment horizontal="center"/>
    </xf>
    <xf numFmtId="0" fontId="27" fillId="0" borderId="0" xfId="59" applyFont="1" applyFill="1" applyAlignment="1">
      <alignment horizontal="center"/>
    </xf>
    <xf numFmtId="0" fontId="3" fillId="0" borderId="0" xfId="59" applyFont="1" applyFill="1"/>
    <xf numFmtId="0" fontId="3" fillId="0" borderId="0" xfId="59" applyFont="1" applyFill="1" applyBorder="1"/>
    <xf numFmtId="0" fontId="33" fillId="0" borderId="0" xfId="59" applyFont="1" applyFill="1" applyAlignment="1">
      <alignment horizontal="center"/>
    </xf>
    <xf numFmtId="0" fontId="6" fillId="0" borderId="0" xfId="59" applyFont="1" applyFill="1"/>
    <xf numFmtId="0" fontId="3" fillId="23" borderId="64" xfId="60" applyFill="1" applyBorder="1" applyAlignment="1">
      <alignment horizontal="center" vertical="center"/>
    </xf>
    <xf numFmtId="0" fontId="34" fillId="24" borderId="64" xfId="59" applyFill="1" applyBorder="1" applyAlignment="1"/>
    <xf numFmtId="0" fontId="34" fillId="0" borderId="64" xfId="59" quotePrefix="1" applyFill="1" applyBorder="1" applyAlignment="1">
      <alignment horizontal="center"/>
    </xf>
    <xf numFmtId="0" fontId="3" fillId="27" borderId="64" xfId="59" quotePrefix="1" applyFont="1" applyFill="1" applyBorder="1" applyAlignment="1">
      <alignment horizontal="center"/>
    </xf>
    <xf numFmtId="0" fontId="3" fillId="24" borderId="64" xfId="59" applyFont="1" applyFill="1" applyBorder="1" applyAlignment="1"/>
    <xf numFmtId="0" fontId="3" fillId="0" borderId="64" xfId="59" quotePrefix="1" applyFont="1" applyFill="1" applyBorder="1" applyAlignment="1">
      <alignment horizontal="center"/>
    </xf>
    <xf numFmtId="0" fontId="3" fillId="27" borderId="64" xfId="59" applyFont="1" applyFill="1" applyBorder="1" applyAlignment="1">
      <alignment horizontal="center"/>
    </xf>
    <xf numFmtId="0" fontId="3" fillId="24" borderId="64" xfId="59" applyFont="1" applyFill="1" applyBorder="1" applyAlignment="1">
      <alignment horizontal="center"/>
    </xf>
    <xf numFmtId="0" fontId="3" fillId="0" borderId="64" xfId="59" applyFont="1" applyFill="1" applyBorder="1" applyAlignment="1">
      <alignment horizontal="center"/>
    </xf>
    <xf numFmtId="0" fontId="34" fillId="0" borderId="64" xfId="59" applyBorder="1" applyAlignment="1" applyProtection="1">
      <alignment horizontal="center"/>
      <protection locked="0"/>
    </xf>
    <xf numFmtId="0" fontId="4" fillId="0" borderId="64" xfId="59" applyFont="1" applyFill="1" applyBorder="1" applyAlignment="1">
      <alignment horizontal="center"/>
    </xf>
    <xf numFmtId="0" fontId="34" fillId="0" borderId="64" xfId="59" applyBorder="1" applyAlignment="1">
      <alignment horizontal="center"/>
    </xf>
    <xf numFmtId="0" fontId="4" fillId="0" borderId="64" xfId="59" applyFont="1" applyBorder="1" applyAlignment="1">
      <alignment horizontal="center"/>
    </xf>
    <xf numFmtId="0" fontId="34" fillId="22" borderId="64" xfId="59" applyFill="1" applyBorder="1" applyAlignment="1">
      <alignment horizontal="center"/>
    </xf>
    <xf numFmtId="0" fontId="3" fillId="22" borderId="64" xfId="59" applyFont="1" applyFill="1" applyBorder="1" applyAlignment="1">
      <alignment horizontal="center"/>
    </xf>
    <xf numFmtId="166" fontId="56" fillId="0" borderId="0" xfId="0" applyNumberFormat="1" applyFont="1" applyFill="1" applyAlignment="1">
      <alignment horizontal="center"/>
    </xf>
    <xf numFmtId="166" fontId="54" fillId="0" borderId="64" xfId="0" applyNumberFormat="1" applyFont="1" applyFill="1" applyBorder="1" applyAlignment="1">
      <alignment horizontal="center"/>
    </xf>
    <xf numFmtId="166" fontId="56" fillId="0" borderId="64" xfId="0" applyNumberFormat="1" applyFont="1" applyFill="1" applyBorder="1" applyAlignment="1">
      <alignment horizontal="center"/>
    </xf>
    <xf numFmtId="166" fontId="55" fillId="0" borderId="0" xfId="36" applyNumberFormat="1" applyFont="1" applyFill="1" applyAlignment="1">
      <alignment horizontal="center"/>
    </xf>
    <xf numFmtId="166" fontId="56" fillId="0" borderId="64" xfId="36" applyNumberFormat="1" applyFont="1" applyFill="1" applyBorder="1" applyAlignment="1">
      <alignment horizontal="center"/>
    </xf>
    <xf numFmtId="166" fontId="54" fillId="0" borderId="64" xfId="36" applyNumberFormat="1" applyFont="1" applyFill="1" applyBorder="1" applyAlignment="1">
      <alignment horizontal="center"/>
    </xf>
    <xf numFmtId="1" fontId="56" fillId="0" borderId="64" xfId="0" applyNumberFormat="1" applyFont="1" applyFill="1" applyBorder="1" applyAlignment="1">
      <alignment horizontal="center"/>
    </xf>
    <xf numFmtId="1" fontId="56" fillId="0" borderId="0" xfId="0" applyNumberFormat="1" applyFont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/>
    </xf>
    <xf numFmtId="1" fontId="56" fillId="20" borderId="64" xfId="0" applyNumberFormat="1" applyFont="1" applyFill="1" applyBorder="1" applyAlignment="1">
      <alignment horizontal="center"/>
    </xf>
    <xf numFmtId="1" fontId="54" fillId="20" borderId="64" xfId="0" applyNumberFormat="1" applyFont="1" applyFill="1" applyBorder="1" applyAlignment="1">
      <alignment horizontal="center" vertical="center"/>
    </xf>
    <xf numFmtId="1" fontId="56" fillId="27" borderId="64" xfId="0" applyNumberFormat="1" applyFont="1" applyFill="1" applyBorder="1" applyAlignment="1">
      <alignment horizontal="center"/>
    </xf>
    <xf numFmtId="1" fontId="63" fillId="27" borderId="64" xfId="0" applyNumberFormat="1" applyFont="1" applyFill="1" applyBorder="1" applyAlignment="1">
      <alignment horizontal="center"/>
    </xf>
    <xf numFmtId="1" fontId="56" fillId="0" borderId="0" xfId="0" applyNumberFormat="1" applyFont="1" applyFill="1" applyAlignment="1">
      <alignment horizontal="center" vertical="center"/>
    </xf>
    <xf numFmtId="0" fontId="31" fillId="0" borderId="0" xfId="59" applyFont="1" applyFill="1" applyAlignment="1">
      <alignment horizontal="center" vertical="center"/>
    </xf>
    <xf numFmtId="0" fontId="34" fillId="23" borderId="64" xfId="59" applyFill="1" applyBorder="1" applyAlignment="1">
      <alignment horizontal="center"/>
    </xf>
    <xf numFmtId="0" fontId="4" fillId="0" borderId="64" xfId="59" applyFont="1" applyFill="1" applyBorder="1" applyAlignment="1">
      <alignment horizontal="center"/>
    </xf>
    <xf numFmtId="0" fontId="34" fillId="20" borderId="64" xfId="59" applyFill="1" applyBorder="1" applyAlignment="1">
      <alignment horizontal="center" vertical="center"/>
    </xf>
    <xf numFmtId="0" fontId="4" fillId="20" borderId="64" xfId="59" applyFont="1" applyFill="1" applyBorder="1" applyAlignment="1">
      <alignment horizontal="center"/>
    </xf>
    <xf numFmtId="0" fontId="3" fillId="0" borderId="64" xfId="59" applyFont="1" applyFill="1" applyBorder="1" applyAlignment="1">
      <alignment horizontal="center"/>
    </xf>
    <xf numFmtId="164" fontId="65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 wrapText="1"/>
    </xf>
    <xf numFmtId="164" fontId="54" fillId="0" borderId="0" xfId="0" applyFont="1"/>
    <xf numFmtId="164" fontId="66" fillId="0" borderId="0" xfId="0" applyFont="1" applyFill="1" applyBorder="1" applyAlignment="1">
      <alignment horizontal="center" vertical="center" wrapText="1"/>
    </xf>
    <xf numFmtId="164" fontId="67" fillId="0" borderId="0" xfId="0" applyFont="1" applyFill="1" applyBorder="1" applyAlignment="1">
      <alignment vertical="center"/>
    </xf>
    <xf numFmtId="164" fontId="54" fillId="0" borderId="0" xfId="0" applyFont="1" applyAlignment="1">
      <alignment horizontal="center"/>
    </xf>
    <xf numFmtId="164" fontId="68" fillId="46" borderId="64" xfId="0" applyFont="1" applyFill="1" applyBorder="1" applyAlignment="1">
      <alignment horizontal="center" vertical="center"/>
    </xf>
    <xf numFmtId="164" fontId="67" fillId="0" borderId="0" xfId="0" applyFont="1" applyFill="1" applyBorder="1" applyAlignment="1">
      <alignment horizontal="center" vertical="center"/>
    </xf>
    <xf numFmtId="164" fontId="56" fillId="20" borderId="66" xfId="0" applyFont="1" applyFill="1" applyBorder="1" applyAlignment="1">
      <alignment horizontal="center" vertical="center"/>
    </xf>
    <xf numFmtId="164" fontId="56" fillId="20" borderId="67" xfId="0" applyFont="1" applyFill="1" applyBorder="1" applyAlignment="1">
      <alignment horizontal="center" vertical="center"/>
    </xf>
    <xf numFmtId="164" fontId="56" fillId="20" borderId="65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center"/>
    </xf>
    <xf numFmtId="164" fontId="54" fillId="0" borderId="0" xfId="0" applyFont="1" applyAlignment="1"/>
    <xf numFmtId="164" fontId="56" fillId="0" borderId="0" xfId="0" applyFont="1" applyFill="1" applyAlignment="1">
      <alignment horizontal="center" vertical="center"/>
    </xf>
    <xf numFmtId="164" fontId="56" fillId="20" borderId="64" xfId="0" applyFont="1" applyFill="1" applyBorder="1" applyAlignment="1">
      <alignment horizontal="center"/>
    </xf>
    <xf numFmtId="164" fontId="56" fillId="20" borderId="68" xfId="0" applyFont="1" applyFill="1" applyBorder="1" applyAlignment="1">
      <alignment horizontal="center" vertical="center"/>
    </xf>
    <xf numFmtId="164" fontId="56" fillId="0" borderId="64" xfId="0" applyFont="1" applyBorder="1" applyAlignment="1">
      <alignment horizontal="center" vertical="center"/>
    </xf>
    <xf numFmtId="164" fontId="69" fillId="0" borderId="68" xfId="0" applyFont="1" applyBorder="1" applyAlignment="1">
      <alignment horizontal="center" vertical="center"/>
    </xf>
    <xf numFmtId="164" fontId="61" fillId="0" borderId="0" xfId="0" applyFont="1"/>
    <xf numFmtId="164" fontId="56" fillId="20" borderId="11" xfId="0" applyFont="1" applyFill="1" applyBorder="1" applyAlignment="1">
      <alignment horizontal="center" vertical="center"/>
    </xf>
    <xf numFmtId="164" fontId="70" fillId="0" borderId="11" xfId="0" applyFont="1" applyBorder="1" applyAlignment="1">
      <alignment horizontal="center" vertical="center"/>
    </xf>
    <xf numFmtId="164" fontId="56" fillId="0" borderId="0" xfId="0" applyFont="1" applyAlignment="1">
      <alignment horizontal="center" vertical="center"/>
    </xf>
    <xf numFmtId="164" fontId="54" fillId="0" borderId="0" xfId="0" applyFont="1" applyAlignment="1">
      <alignment horizontal="center" vertical="center"/>
    </xf>
    <xf numFmtId="164" fontId="56" fillId="0" borderId="0" xfId="0" applyFont="1" applyFill="1" applyBorder="1" applyAlignment="1">
      <alignment horizontal="center"/>
    </xf>
    <xf numFmtId="164" fontId="58" fillId="0" borderId="0" xfId="0" applyFont="1"/>
    <xf numFmtId="164" fontId="54" fillId="0" borderId="0" xfId="0" applyFont="1" applyBorder="1" applyAlignment="1">
      <alignment horizontal="center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center"/>
    </xf>
    <xf numFmtId="164" fontId="54" fillId="0" borderId="0" xfId="0" applyFont="1" applyBorder="1" applyAlignment="1">
      <alignment horizontal="center" vertical="center"/>
    </xf>
    <xf numFmtId="164" fontId="56" fillId="0" borderId="0" xfId="0" applyFont="1" applyBorder="1" applyAlignment="1">
      <alignment horizontal="center" vertical="center"/>
    </xf>
    <xf numFmtId="164" fontId="59" fillId="0" borderId="0" xfId="0" applyFont="1" applyFill="1" applyBorder="1" applyAlignment="1">
      <alignment horizontal="center" vertical="center"/>
    </xf>
    <xf numFmtId="164" fontId="56" fillId="0" borderId="0" xfId="0" applyFont="1" applyBorder="1" applyAlignment="1">
      <alignment horizontal="center"/>
    </xf>
    <xf numFmtId="164" fontId="71" fillId="0" borderId="64" xfId="0" applyFont="1" applyBorder="1" applyAlignment="1">
      <alignment horizontal="center" vertical="center" wrapText="1"/>
    </xf>
    <xf numFmtId="164" fontId="54" fillId="0" borderId="0" xfId="0" applyFont="1" applyAlignment="1">
      <alignment horizontal="left" vertical="top" wrapText="1"/>
    </xf>
    <xf numFmtId="164" fontId="72" fillId="0" borderId="0" xfId="0" applyFont="1" applyFill="1" applyBorder="1" applyAlignment="1">
      <alignment horizontal="center" vertical="center"/>
    </xf>
    <xf numFmtId="164" fontId="54" fillId="0" borderId="64" xfId="0" applyFont="1" applyBorder="1" applyAlignment="1">
      <alignment horizontal="center" vertical="center" wrapText="1"/>
    </xf>
    <xf numFmtId="164" fontId="54" fillId="0" borderId="0" xfId="0" applyFont="1" applyBorder="1" applyAlignment="1">
      <alignment horizontal="center" vertical="center" wrapText="1"/>
    </xf>
    <xf numFmtId="0" fontId="53" fillId="47" borderId="73" xfId="59" applyFont="1" applyFill="1" applyBorder="1" applyAlignment="1">
      <alignment horizontal="center" vertical="center"/>
    </xf>
    <xf numFmtId="0" fontId="53" fillId="47" borderId="72" xfId="59" applyFont="1" applyFill="1" applyBorder="1" applyAlignment="1">
      <alignment horizontal="center" vertical="center"/>
    </xf>
    <xf numFmtId="0" fontId="53" fillId="47" borderId="74" xfId="59" applyFont="1" applyFill="1" applyBorder="1" applyAlignment="1">
      <alignment horizontal="center" vertical="center"/>
    </xf>
    <xf numFmtId="0" fontId="53" fillId="47" borderId="36" xfId="59" applyFont="1" applyFill="1" applyBorder="1" applyAlignment="1">
      <alignment horizontal="center" vertical="center"/>
    </xf>
    <xf numFmtId="0" fontId="53" fillId="47" borderId="37" xfId="59" applyFont="1" applyFill="1" applyBorder="1" applyAlignment="1">
      <alignment horizontal="center" vertical="center"/>
    </xf>
    <xf numFmtId="0" fontId="53" fillId="47" borderId="38" xfId="59" applyFont="1" applyFill="1" applyBorder="1" applyAlignment="1">
      <alignment horizontal="center" vertical="center"/>
    </xf>
    <xf numFmtId="164" fontId="73" fillId="0" borderId="68" xfId="0" applyFont="1" applyBorder="1" applyAlignment="1">
      <alignment horizontal="center" vertical="center"/>
    </xf>
    <xf numFmtId="164" fontId="72" fillId="0" borderId="11" xfId="0" applyFont="1" applyBorder="1" applyAlignment="1">
      <alignment horizontal="center" vertical="center"/>
    </xf>
    <xf numFmtId="164" fontId="56" fillId="22" borderId="0" xfId="0" applyFont="1" applyFill="1" applyBorder="1" applyAlignment="1">
      <alignment horizontal="center"/>
    </xf>
    <xf numFmtId="14" fontId="74" fillId="0" borderId="0" xfId="0" applyNumberFormat="1" applyFont="1"/>
    <xf numFmtId="164" fontId="54" fillId="0" borderId="0" xfId="0" applyFont="1" applyAlignment="1">
      <alignment vertical="center"/>
    </xf>
    <xf numFmtId="164" fontId="68" fillId="46" borderId="9" xfId="0" applyFont="1" applyFill="1" applyBorder="1" applyAlignment="1">
      <alignment horizontal="center" vertical="center"/>
    </xf>
    <xf numFmtId="164" fontId="56" fillId="20" borderId="10" xfId="0" applyFont="1" applyFill="1" applyBorder="1" applyAlignment="1">
      <alignment horizontal="center" vertical="center"/>
    </xf>
    <xf numFmtId="164" fontId="56" fillId="20" borderId="16" xfId="0" applyFont="1" applyFill="1" applyBorder="1" applyAlignment="1">
      <alignment horizontal="center" vertical="center"/>
    </xf>
    <xf numFmtId="164" fontId="56" fillId="20" borderId="20" xfId="0" applyFont="1" applyFill="1" applyBorder="1" applyAlignment="1">
      <alignment horizontal="center" vertical="center"/>
    </xf>
    <xf numFmtId="164" fontId="56" fillId="20" borderId="9" xfId="0" applyFont="1" applyFill="1" applyBorder="1" applyAlignment="1">
      <alignment horizontal="center" vertical="center"/>
    </xf>
    <xf numFmtId="164" fontId="56" fillId="20" borderId="12" xfId="0" applyFont="1" applyFill="1" applyBorder="1" applyAlignment="1">
      <alignment horizontal="center" vertical="center"/>
    </xf>
    <xf numFmtId="164" fontId="56" fillId="0" borderId="9" xfId="0" applyFont="1" applyBorder="1" applyAlignment="1">
      <alignment horizontal="center" vertical="center"/>
    </xf>
    <xf numFmtId="164" fontId="73" fillId="0" borderId="12" xfId="0" applyFont="1" applyBorder="1" applyAlignment="1">
      <alignment horizontal="center" vertical="center"/>
    </xf>
    <xf numFmtId="164" fontId="61" fillId="0" borderId="0" xfId="0" applyFont="1" applyAlignment="1">
      <alignment vertical="center"/>
    </xf>
    <xf numFmtId="164" fontId="56" fillId="0" borderId="10" xfId="0" applyFont="1" applyBorder="1" applyAlignment="1">
      <alignment horizontal="center" vertical="center"/>
    </xf>
    <xf numFmtId="164" fontId="72" fillId="0" borderId="0" xfId="0" applyFont="1" applyFill="1" applyAlignment="1">
      <alignment horizontal="center" vertical="center"/>
    </xf>
    <xf numFmtId="164" fontId="56" fillId="0" borderId="0" xfId="0" applyFont="1" applyFill="1" applyBorder="1" applyAlignment="1">
      <alignment horizontal="center" vertical="center"/>
    </xf>
    <xf numFmtId="164" fontId="58" fillId="0" borderId="0" xfId="0" applyFont="1" applyAlignment="1">
      <alignment vertical="center"/>
    </xf>
    <xf numFmtId="164" fontId="72" fillId="0" borderId="0" xfId="0" applyFont="1" applyAlignment="1">
      <alignment horizontal="center" vertical="center"/>
    </xf>
    <xf numFmtId="164" fontId="54" fillId="0" borderId="0" xfId="0" applyFont="1" applyFill="1" applyBorder="1" applyAlignment="1">
      <alignment horizontal="center" vertical="center"/>
    </xf>
    <xf numFmtId="164" fontId="72" fillId="0" borderId="13" xfId="0" applyFont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/>
    </xf>
    <xf numFmtId="164" fontId="54" fillId="0" borderId="0" xfId="0" applyFont="1" applyBorder="1" applyAlignment="1">
      <alignment vertical="center"/>
    </xf>
    <xf numFmtId="164" fontId="71" fillId="0" borderId="17" xfId="0" applyFont="1" applyBorder="1" applyAlignment="1">
      <alignment horizontal="center" vertical="center" wrapText="1"/>
    </xf>
    <xf numFmtId="164" fontId="71" fillId="0" borderId="14" xfId="0" applyFont="1" applyBorder="1" applyAlignment="1">
      <alignment horizontal="center" vertical="center" wrapText="1"/>
    </xf>
    <xf numFmtId="164" fontId="71" fillId="0" borderId="21" xfId="0" applyFont="1" applyBorder="1" applyAlignment="1">
      <alignment horizontal="center" vertical="center" wrapText="1"/>
    </xf>
    <xf numFmtId="164" fontId="71" fillId="0" borderId="18" xfId="0" applyFont="1" applyBorder="1" applyAlignment="1">
      <alignment horizontal="center" vertical="center" wrapText="1"/>
    </xf>
    <xf numFmtId="164" fontId="71" fillId="0" borderId="0" xfId="0" applyFont="1" applyBorder="1" applyAlignment="1">
      <alignment horizontal="center" vertical="center" wrapText="1"/>
    </xf>
    <xf numFmtId="164" fontId="71" fillId="0" borderId="22" xfId="0" applyFont="1" applyBorder="1" applyAlignment="1">
      <alignment horizontal="center" vertical="center" wrapText="1"/>
    </xf>
    <xf numFmtId="164" fontId="71" fillId="0" borderId="19" xfId="0" applyFont="1" applyBorder="1" applyAlignment="1">
      <alignment horizontal="center" vertical="center" wrapText="1"/>
    </xf>
    <xf numFmtId="164" fontId="71" fillId="0" borderId="15" xfId="0" applyFont="1" applyBorder="1" applyAlignment="1">
      <alignment horizontal="center" vertical="center" wrapText="1"/>
    </xf>
    <xf numFmtId="164" fontId="71" fillId="0" borderId="23" xfId="0" applyFont="1" applyBorder="1" applyAlignment="1">
      <alignment horizontal="center" vertical="center" wrapText="1"/>
    </xf>
    <xf numFmtId="164" fontId="54" fillId="0" borderId="0" xfId="0" applyFont="1" applyAlignment="1">
      <alignment horizontal="left" vertical="center" wrapText="1"/>
    </xf>
    <xf numFmtId="164" fontId="54" fillId="0" borderId="34" xfId="0" applyFont="1" applyBorder="1" applyAlignment="1">
      <alignment horizontal="center" vertical="center" wrapText="1"/>
    </xf>
    <xf numFmtId="164" fontId="54" fillId="0" borderId="33" xfId="0" applyFont="1" applyBorder="1" applyAlignment="1">
      <alignment horizontal="center" vertical="center" wrapText="1"/>
    </xf>
    <xf numFmtId="164" fontId="54" fillId="0" borderId="35" xfId="0" applyFont="1" applyBorder="1" applyAlignment="1">
      <alignment horizontal="center" vertical="center" wrapText="1"/>
    </xf>
    <xf numFmtId="164" fontId="54" fillId="0" borderId="18" xfId="0" applyFont="1" applyBorder="1" applyAlignment="1">
      <alignment horizontal="center" vertical="center" wrapText="1"/>
    </xf>
    <xf numFmtId="164" fontId="54" fillId="0" borderId="0" xfId="0" applyFont="1" applyBorder="1" applyAlignment="1">
      <alignment horizontal="center" vertical="center" wrapText="1"/>
    </xf>
    <xf numFmtId="164" fontId="54" fillId="0" borderId="22" xfId="0" applyFont="1" applyBorder="1" applyAlignment="1">
      <alignment horizontal="center" vertical="center" wrapText="1"/>
    </xf>
    <xf numFmtId="164" fontId="54" fillId="0" borderId="36" xfId="0" applyFont="1" applyBorder="1" applyAlignment="1">
      <alignment horizontal="center" vertical="center" wrapText="1"/>
    </xf>
    <xf numFmtId="164" fontId="54" fillId="0" borderId="37" xfId="0" applyFont="1" applyBorder="1" applyAlignment="1">
      <alignment horizontal="center" vertical="center" wrapText="1"/>
    </xf>
    <xf numFmtId="164" fontId="54" fillId="0" borderId="38" xfId="0" applyFont="1" applyBorder="1" applyAlignment="1">
      <alignment horizontal="center" vertical="center" wrapText="1"/>
    </xf>
    <xf numFmtId="164" fontId="54" fillId="0" borderId="24" xfId="0" applyFont="1" applyBorder="1" applyAlignment="1">
      <alignment horizontal="center" vertical="center" wrapText="1"/>
    </xf>
    <xf numFmtId="164" fontId="54" fillId="0" borderId="0" xfId="36" applyFont="1" applyAlignment="1">
      <alignment horizontal="center" vertical="center"/>
    </xf>
    <xf numFmtId="164" fontId="54" fillId="0" borderId="0" xfId="36" applyFont="1" applyAlignment="1">
      <alignment vertical="center"/>
    </xf>
    <xf numFmtId="164" fontId="67" fillId="0" borderId="0" xfId="36" applyFont="1" applyFill="1" applyBorder="1" applyAlignment="1">
      <alignment vertical="center"/>
    </xf>
    <xf numFmtId="164" fontId="68" fillId="46" borderId="24" xfId="36" applyFont="1" applyFill="1" applyBorder="1" applyAlignment="1">
      <alignment horizontal="center" vertical="center"/>
    </xf>
    <xf numFmtId="164" fontId="67" fillId="0" borderId="0" xfId="36" applyFont="1" applyFill="1" applyBorder="1" applyAlignment="1">
      <alignment horizontal="center" vertical="center"/>
    </xf>
    <xf numFmtId="164" fontId="56" fillId="20" borderId="25" xfId="36" applyFont="1" applyFill="1" applyBorder="1" applyAlignment="1">
      <alignment horizontal="center" vertical="center"/>
    </xf>
    <xf numFmtId="164" fontId="56" fillId="20" borderId="26" xfId="36" applyFont="1" applyFill="1" applyBorder="1" applyAlignment="1">
      <alignment horizontal="center" vertical="center"/>
    </xf>
    <xf numFmtId="164" fontId="56" fillId="20" borderId="27" xfId="36" applyFont="1" applyFill="1" applyBorder="1" applyAlignment="1">
      <alignment horizontal="center" vertical="center"/>
    </xf>
    <xf numFmtId="164" fontId="54" fillId="0" borderId="0" xfId="36" applyFont="1" applyFill="1" applyAlignment="1">
      <alignment horizontal="center" vertical="center"/>
    </xf>
    <xf numFmtId="164" fontId="56" fillId="0" borderId="0" xfId="36" applyFont="1" applyFill="1" applyAlignment="1">
      <alignment horizontal="center" vertical="center"/>
    </xf>
    <xf numFmtId="164" fontId="56" fillId="20" borderId="24" xfId="36" applyFont="1" applyFill="1" applyBorder="1" applyAlignment="1">
      <alignment horizontal="center" vertical="center"/>
    </xf>
    <xf numFmtId="164" fontId="56" fillId="20" borderId="41" xfId="36" applyFont="1" applyFill="1" applyBorder="1" applyAlignment="1">
      <alignment horizontal="center" vertical="center"/>
    </xf>
    <xf numFmtId="164" fontId="56" fillId="0" borderId="24" xfId="36" applyFont="1" applyBorder="1" applyAlignment="1">
      <alignment horizontal="center" vertical="center"/>
    </xf>
    <xf numFmtId="164" fontId="73" fillId="0" borderId="41" xfId="36" applyFont="1" applyBorder="1" applyAlignment="1">
      <alignment horizontal="center" vertical="center"/>
    </xf>
    <xf numFmtId="164" fontId="56" fillId="20" borderId="11" xfId="36" applyFont="1" applyFill="1" applyBorder="1" applyAlignment="1">
      <alignment horizontal="center" vertical="center"/>
    </xf>
    <xf numFmtId="164" fontId="72" fillId="0" borderId="11" xfId="36" applyFont="1" applyBorder="1" applyAlignment="1">
      <alignment horizontal="center" vertical="center"/>
    </xf>
    <xf numFmtId="164" fontId="56" fillId="20" borderId="28" xfId="36" applyFont="1" applyFill="1" applyBorder="1" applyAlignment="1">
      <alignment horizontal="center" vertical="center"/>
    </xf>
    <xf numFmtId="164" fontId="73" fillId="0" borderId="28" xfId="36" applyFont="1" applyBorder="1" applyAlignment="1">
      <alignment horizontal="center" vertical="center"/>
    </xf>
    <xf numFmtId="164" fontId="56" fillId="0" borderId="0" xfId="36" applyFont="1" applyFill="1" applyBorder="1" applyAlignment="1">
      <alignment horizontal="center" vertical="center"/>
    </xf>
    <xf numFmtId="164" fontId="58" fillId="0" borderId="0" xfId="36" applyFont="1" applyAlignment="1">
      <alignment vertical="center"/>
    </xf>
    <xf numFmtId="164" fontId="56" fillId="0" borderId="0" xfId="36" applyFont="1" applyAlignment="1">
      <alignment horizontal="center" vertical="center"/>
    </xf>
    <xf numFmtId="164" fontId="72" fillId="0" borderId="0" xfId="36" applyFont="1" applyAlignment="1">
      <alignment horizontal="center" vertical="center"/>
    </xf>
    <xf numFmtId="164" fontId="54" fillId="0" borderId="0" xfId="36" applyFont="1" applyBorder="1" applyAlignment="1">
      <alignment horizontal="center" vertical="center"/>
    </xf>
    <xf numFmtId="164" fontId="54" fillId="0" borderId="0" xfId="36" applyFont="1" applyFill="1" applyBorder="1" applyAlignment="1">
      <alignment horizontal="center" vertical="center"/>
    </xf>
    <xf numFmtId="164" fontId="54" fillId="0" borderId="29" xfId="36" applyFont="1" applyBorder="1" applyAlignment="1">
      <alignment vertical="center"/>
    </xf>
    <xf numFmtId="164" fontId="71" fillId="0" borderId="30" xfId="36" applyFont="1" applyBorder="1" applyAlignment="1">
      <alignment horizontal="center" vertical="center" wrapText="1"/>
    </xf>
    <xf numFmtId="164" fontId="54" fillId="0" borderId="29" xfId="36" applyFont="1" applyBorder="1" applyAlignment="1">
      <alignment horizontal="center" vertical="center" wrapText="1"/>
    </xf>
    <xf numFmtId="164" fontId="54" fillId="0" borderId="31" xfId="36" applyFont="1" applyBorder="1" applyAlignment="1">
      <alignment horizontal="center" vertical="center" wrapText="1"/>
    </xf>
    <xf numFmtId="164" fontId="56" fillId="0" borderId="0" xfId="36" applyFont="1" applyBorder="1" applyAlignment="1">
      <alignment horizontal="center" vertical="center"/>
    </xf>
    <xf numFmtId="164" fontId="72" fillId="0" borderId="0" xfId="36" applyFont="1" applyBorder="1" applyAlignment="1">
      <alignment horizontal="center" vertical="center"/>
    </xf>
    <xf numFmtId="164" fontId="54" fillId="0" borderId="18" xfId="36" applyFont="1" applyBorder="1" applyAlignment="1">
      <alignment horizontal="center" vertical="center" wrapText="1"/>
    </xf>
    <xf numFmtId="164" fontId="54" fillId="0" borderId="0" xfId="36" applyFont="1" applyBorder="1" applyAlignment="1">
      <alignment horizontal="center" vertical="center" wrapText="1"/>
    </xf>
    <xf numFmtId="164" fontId="54" fillId="0" borderId="22" xfId="36" applyFont="1" applyBorder="1" applyAlignment="1">
      <alignment horizontal="center" vertical="center" wrapText="1"/>
    </xf>
    <xf numFmtId="164" fontId="54" fillId="0" borderId="22" xfId="36" applyFont="1" applyBorder="1" applyAlignment="1">
      <alignment horizontal="center" vertical="center"/>
    </xf>
    <xf numFmtId="164" fontId="54" fillId="0" borderId="19" xfId="36" applyFont="1" applyBorder="1" applyAlignment="1">
      <alignment horizontal="center" vertical="center" wrapText="1"/>
    </xf>
    <xf numFmtId="164" fontId="54" fillId="0" borderId="15" xfId="36" applyFont="1" applyBorder="1" applyAlignment="1">
      <alignment horizontal="center" vertical="center" wrapText="1"/>
    </xf>
    <xf numFmtId="164" fontId="54" fillId="0" borderId="23" xfId="36" applyFont="1" applyBorder="1" applyAlignment="1">
      <alignment horizontal="center" vertical="center" wrapText="1"/>
    </xf>
    <xf numFmtId="164" fontId="71" fillId="0" borderId="0" xfId="36" applyFont="1" applyBorder="1" applyAlignment="1">
      <alignment vertical="center" wrapText="1"/>
    </xf>
    <xf numFmtId="164" fontId="70" fillId="0" borderId="0" xfId="36" applyFont="1" applyBorder="1" applyAlignment="1">
      <alignment horizontal="center" vertical="center"/>
    </xf>
    <xf numFmtId="164" fontId="54" fillId="0" borderId="24" xfId="36" applyFont="1" applyBorder="1" applyAlignment="1">
      <alignment horizontal="center" vertical="center" wrapText="1"/>
    </xf>
    <xf numFmtId="14" fontId="74" fillId="0" borderId="0" xfId="36" applyNumberFormat="1" applyFont="1" applyAlignment="1">
      <alignment vertical="center"/>
    </xf>
    <xf numFmtId="164" fontId="54" fillId="0" borderId="0" xfId="36" applyFont="1" applyAlignment="1">
      <alignment horizontal="left" vertical="center" wrapText="1"/>
    </xf>
    <xf numFmtId="164" fontId="54" fillId="0" borderId="37" xfId="0" applyFont="1" applyBorder="1" applyAlignment="1">
      <alignment horizontal="center"/>
    </xf>
    <xf numFmtId="164" fontId="68" fillId="46" borderId="32" xfId="0" applyFont="1" applyFill="1" applyBorder="1" applyAlignment="1">
      <alignment horizontal="center"/>
    </xf>
    <xf numFmtId="164" fontId="68" fillId="46" borderId="42" xfId="0" applyFont="1" applyFill="1" applyBorder="1" applyAlignment="1">
      <alignment horizontal="center"/>
    </xf>
    <xf numFmtId="164" fontId="56" fillId="20" borderId="45" xfId="0" applyFont="1" applyFill="1" applyBorder="1" applyAlignment="1">
      <alignment horizontal="center" vertical="center"/>
    </xf>
    <xf numFmtId="164" fontId="56" fillId="20" borderId="39" xfId="0" applyFont="1" applyFill="1" applyBorder="1" applyAlignment="1">
      <alignment horizontal="center" vertical="center"/>
    </xf>
    <xf numFmtId="164" fontId="56" fillId="20" borderId="40" xfId="0" applyFont="1" applyFill="1" applyBorder="1" applyAlignment="1">
      <alignment horizontal="center" vertical="center"/>
    </xf>
    <xf numFmtId="164" fontId="56" fillId="20" borderId="32" xfId="0" applyFont="1" applyFill="1" applyBorder="1" applyAlignment="1">
      <alignment horizontal="center"/>
    </xf>
    <xf numFmtId="164" fontId="56" fillId="20" borderId="44" xfId="0" applyFont="1" applyFill="1" applyBorder="1" applyAlignment="1">
      <alignment horizontal="center" vertical="center"/>
    </xf>
    <xf numFmtId="164" fontId="56" fillId="0" borderId="32" xfId="0" applyFont="1" applyBorder="1" applyAlignment="1">
      <alignment horizontal="center" vertical="center"/>
    </xf>
    <xf numFmtId="164" fontId="73" fillId="0" borderId="42" xfId="0" applyFont="1" applyBorder="1" applyAlignment="1">
      <alignment horizontal="center" vertical="center"/>
    </xf>
    <xf numFmtId="164" fontId="56" fillId="20" borderId="36" xfId="0" applyFont="1" applyFill="1" applyBorder="1" applyAlignment="1">
      <alignment horizontal="center" vertical="center"/>
    </xf>
    <xf numFmtId="164" fontId="56" fillId="20" borderId="42" xfId="0" applyFont="1" applyFill="1" applyBorder="1" applyAlignment="1">
      <alignment horizontal="center" vertical="center"/>
    </xf>
    <xf numFmtId="164" fontId="56" fillId="0" borderId="45" xfId="0" applyFont="1" applyBorder="1" applyAlignment="1">
      <alignment horizontal="center" vertical="center"/>
    </xf>
    <xf numFmtId="164" fontId="54" fillId="0" borderId="43" xfId="0" applyFont="1" applyFill="1" applyBorder="1" applyAlignment="1">
      <alignment horizontal="center" vertical="center"/>
    </xf>
    <xf numFmtId="164" fontId="72" fillId="0" borderId="0" xfId="0" applyFont="1" applyBorder="1" applyAlignment="1">
      <alignment horizontal="center" vertical="center"/>
    </xf>
    <xf numFmtId="164" fontId="70" fillId="0" borderId="0" xfId="0" applyFont="1" applyBorder="1" applyAlignment="1">
      <alignment horizontal="center" vertical="center"/>
    </xf>
    <xf numFmtId="164" fontId="54" fillId="0" borderId="0" xfId="0" applyFont="1" applyBorder="1"/>
    <xf numFmtId="164" fontId="54" fillId="0" borderId="45" xfId="0" applyFont="1" applyBorder="1" applyAlignment="1">
      <alignment horizontal="center" vertical="top" wrapText="1"/>
    </xf>
    <xf numFmtId="164" fontId="54" fillId="0" borderId="39" xfId="0" applyFont="1" applyBorder="1" applyAlignment="1">
      <alignment horizontal="center" vertical="top" wrapText="1"/>
    </xf>
    <xf numFmtId="164" fontId="54" fillId="0" borderId="40" xfId="0" applyFont="1" applyBorder="1" applyAlignment="1">
      <alignment horizontal="center" vertical="top" wrapText="1"/>
    </xf>
    <xf numFmtId="164" fontId="54" fillId="0" borderId="61" xfId="0" applyFont="1" applyBorder="1" applyAlignment="1">
      <alignment horizontal="center" vertical="top" wrapText="1"/>
    </xf>
    <xf numFmtId="164" fontId="54" fillId="0" borderId="62" xfId="0" applyFont="1" applyBorder="1" applyAlignment="1">
      <alignment horizontal="center" vertical="top" wrapText="1"/>
    </xf>
    <xf numFmtId="164" fontId="54" fillId="0" borderId="63" xfId="0" applyFont="1" applyBorder="1" applyAlignment="1">
      <alignment horizontal="center" vertical="top" wrapText="1"/>
    </xf>
    <xf numFmtId="164" fontId="54" fillId="0" borderId="18" xfId="0" applyFont="1" applyBorder="1" applyAlignment="1">
      <alignment horizontal="center" vertical="top" wrapText="1"/>
    </xf>
    <xf numFmtId="164" fontId="54" fillId="0" borderId="0" xfId="0" applyFont="1" applyBorder="1" applyAlignment="1">
      <alignment horizontal="center" vertical="top" wrapText="1"/>
    </xf>
    <xf numFmtId="164" fontId="54" fillId="0" borderId="22" xfId="0" applyFont="1" applyBorder="1" applyAlignment="1">
      <alignment horizontal="center" vertical="top" wrapText="1"/>
    </xf>
    <xf numFmtId="164" fontId="54" fillId="0" borderId="36" xfId="0" applyFont="1" applyBorder="1" applyAlignment="1">
      <alignment horizontal="center" vertical="top" wrapText="1"/>
    </xf>
    <xf numFmtId="164" fontId="54" fillId="0" borderId="37" xfId="0" applyFont="1" applyBorder="1" applyAlignment="1">
      <alignment horizontal="center" vertical="top" wrapText="1"/>
    </xf>
    <xf numFmtId="164" fontId="54" fillId="0" borderId="38" xfId="0" applyFont="1" applyBorder="1" applyAlignment="1">
      <alignment horizontal="center" vertical="top" wrapText="1"/>
    </xf>
    <xf numFmtId="0" fontId="65" fillId="0" borderId="0" xfId="59" applyFont="1" applyFill="1" applyBorder="1" applyAlignment="1">
      <alignment horizontal="center" vertical="center" wrapText="1"/>
    </xf>
    <xf numFmtId="0" fontId="54" fillId="0" borderId="0" xfId="59" applyFont="1" applyAlignment="1">
      <alignment horizontal="center"/>
    </xf>
    <xf numFmtId="0" fontId="54" fillId="0" borderId="0" xfId="59" applyFont="1"/>
    <xf numFmtId="0" fontId="66" fillId="0" borderId="0" xfId="59" applyFont="1" applyFill="1" applyBorder="1" applyAlignment="1">
      <alignment horizontal="center" vertical="center" wrapText="1"/>
    </xf>
    <xf numFmtId="0" fontId="54" fillId="0" borderId="37" xfId="59" applyFont="1" applyBorder="1" applyAlignment="1">
      <alignment horizontal="center"/>
    </xf>
    <xf numFmtId="0" fontId="67" fillId="0" borderId="0" xfId="59" applyFont="1" applyFill="1" applyBorder="1" applyAlignment="1">
      <alignment vertical="center"/>
    </xf>
    <xf numFmtId="0" fontId="68" fillId="46" borderId="64" xfId="59" applyFont="1" applyFill="1" applyBorder="1" applyAlignment="1">
      <alignment horizontal="center"/>
    </xf>
    <xf numFmtId="0" fontId="68" fillId="46" borderId="69" xfId="59" applyFont="1" applyFill="1" applyBorder="1" applyAlignment="1">
      <alignment horizontal="center"/>
    </xf>
    <xf numFmtId="0" fontId="67" fillId="0" borderId="0" xfId="59" applyFont="1" applyFill="1" applyBorder="1" applyAlignment="1">
      <alignment horizontal="center" vertical="center"/>
    </xf>
    <xf numFmtId="0" fontId="67" fillId="0" borderId="0" xfId="59" applyFont="1" applyFill="1" applyBorder="1" applyAlignment="1">
      <alignment horizontal="center" vertical="center" wrapText="1"/>
    </xf>
    <xf numFmtId="0" fontId="56" fillId="20" borderId="66" xfId="59" applyFont="1" applyFill="1" applyBorder="1" applyAlignment="1">
      <alignment horizontal="center" vertical="center"/>
    </xf>
    <xf numFmtId="0" fontId="56" fillId="20" borderId="70" xfId="59" applyFont="1" applyFill="1" applyBorder="1" applyAlignment="1">
      <alignment horizontal="center" vertical="center"/>
    </xf>
    <xf numFmtId="0" fontId="56" fillId="20" borderId="71" xfId="59" applyFont="1" applyFill="1" applyBorder="1" applyAlignment="1">
      <alignment horizontal="center" vertical="center"/>
    </xf>
    <xf numFmtId="0" fontId="54" fillId="0" borderId="0" xfId="59" applyFont="1" applyFill="1" applyAlignment="1">
      <alignment horizontal="center"/>
    </xf>
    <xf numFmtId="0" fontId="54" fillId="0" borderId="0" xfId="59" applyFont="1" applyAlignment="1"/>
    <xf numFmtId="0" fontId="56" fillId="0" borderId="0" xfId="59" applyFont="1" applyFill="1" applyAlignment="1">
      <alignment horizontal="center" vertical="center"/>
    </xf>
    <xf numFmtId="0" fontId="54" fillId="0" borderId="0" xfId="59" applyFont="1" applyFill="1" applyAlignment="1">
      <alignment horizontal="center" wrapText="1"/>
    </xf>
    <xf numFmtId="0" fontId="56" fillId="20" borderId="64" xfId="59" applyFont="1" applyFill="1" applyBorder="1" applyAlignment="1">
      <alignment horizontal="center"/>
    </xf>
    <xf numFmtId="0" fontId="56" fillId="20" borderId="69" xfId="59" applyFont="1" applyFill="1" applyBorder="1" applyAlignment="1">
      <alignment horizontal="center" vertical="center" wrapText="1"/>
    </xf>
    <xf numFmtId="0" fontId="56" fillId="0" borderId="64" xfId="59" applyFont="1" applyBorder="1" applyAlignment="1">
      <alignment horizontal="center" vertical="center"/>
    </xf>
    <xf numFmtId="0" fontId="73" fillId="0" borderId="69" xfId="59" applyFont="1" applyBorder="1" applyAlignment="1">
      <alignment horizontal="center" vertical="center"/>
    </xf>
    <xf numFmtId="0" fontId="61" fillId="0" borderId="0" xfId="59" applyFont="1"/>
    <xf numFmtId="0" fontId="56" fillId="20" borderId="11" xfId="59" applyFont="1" applyFill="1" applyBorder="1" applyAlignment="1">
      <alignment horizontal="center" vertical="center" wrapText="1"/>
    </xf>
    <xf numFmtId="0" fontId="72" fillId="0" borderId="11" xfId="59" applyFont="1" applyBorder="1" applyAlignment="1">
      <alignment horizontal="center" vertical="center"/>
    </xf>
    <xf numFmtId="0" fontId="56" fillId="20" borderId="69" xfId="59" applyFont="1" applyFill="1" applyBorder="1" applyAlignment="1">
      <alignment horizontal="center" vertical="center"/>
    </xf>
    <xf numFmtId="0" fontId="56" fillId="0" borderId="66" xfId="59" applyFont="1" applyBorder="1" applyAlignment="1">
      <alignment horizontal="center" vertical="center"/>
    </xf>
    <xf numFmtId="0" fontId="54" fillId="0" borderId="0" xfId="59" applyFont="1" applyAlignment="1">
      <alignment horizontal="center" wrapText="1"/>
    </xf>
    <xf numFmtId="0" fontId="56" fillId="0" borderId="0" xfId="59" applyFont="1" applyAlignment="1">
      <alignment horizontal="center" vertical="center"/>
    </xf>
    <xf numFmtId="0" fontId="72" fillId="0" borderId="0" xfId="59" applyFont="1" applyFill="1" applyAlignment="1">
      <alignment horizontal="center" vertical="center"/>
    </xf>
    <xf numFmtId="0" fontId="56" fillId="0" borderId="0" xfId="59" applyFont="1" applyFill="1" applyBorder="1" applyAlignment="1">
      <alignment horizontal="center"/>
    </xf>
    <xf numFmtId="0" fontId="58" fillId="0" borderId="0" xfId="59" applyFont="1"/>
    <xf numFmtId="0" fontId="54" fillId="0" borderId="0" xfId="59" applyFont="1" applyAlignment="1">
      <alignment vertical="center"/>
    </xf>
    <xf numFmtId="0" fontId="56" fillId="20" borderId="11" xfId="59" applyFont="1" applyFill="1" applyBorder="1" applyAlignment="1">
      <alignment horizontal="center" vertical="center"/>
    </xf>
    <xf numFmtId="0" fontId="72" fillId="0" borderId="0" xfId="59" applyFont="1" applyAlignment="1">
      <alignment horizontal="center" vertical="center"/>
    </xf>
    <xf numFmtId="0" fontId="54" fillId="0" borderId="0" xfId="59" applyFont="1" applyBorder="1" applyAlignment="1">
      <alignment horizontal="center"/>
    </xf>
    <xf numFmtId="0" fontId="54" fillId="0" borderId="0" xfId="59" applyFont="1" applyFill="1" applyBorder="1" applyAlignment="1">
      <alignment horizontal="center"/>
    </xf>
    <xf numFmtId="0" fontId="72" fillId="0" borderId="13" xfId="59" applyFont="1" applyBorder="1" applyAlignment="1">
      <alignment horizontal="center" vertical="center"/>
    </xf>
    <xf numFmtId="0" fontId="54" fillId="0" borderId="0" xfId="59" applyFont="1" applyAlignment="1">
      <alignment horizontal="center" vertical="center"/>
    </xf>
    <xf numFmtId="0" fontId="54" fillId="0" borderId="72" xfId="59" applyFont="1" applyFill="1" applyBorder="1" applyAlignment="1">
      <alignment horizontal="center" vertical="center"/>
    </xf>
    <xf numFmtId="0" fontId="56" fillId="0" borderId="0" xfId="59" applyFont="1" applyBorder="1" applyAlignment="1">
      <alignment horizontal="center" vertical="center"/>
    </xf>
    <xf numFmtId="0" fontId="72" fillId="0" borderId="0" xfId="59" applyFont="1" applyBorder="1" applyAlignment="1">
      <alignment horizontal="center" vertical="center"/>
    </xf>
    <xf numFmtId="0" fontId="54" fillId="0" borderId="0" xfId="59" applyFont="1" applyFill="1" applyBorder="1" applyAlignment="1">
      <alignment horizontal="center" vertical="center"/>
    </xf>
    <xf numFmtId="0" fontId="70" fillId="0" borderId="0" xfId="59" applyFont="1" applyBorder="1" applyAlignment="1">
      <alignment horizontal="center" vertical="center"/>
    </xf>
    <xf numFmtId="0" fontId="56" fillId="0" borderId="0" xfId="59" applyFont="1" applyBorder="1" applyAlignment="1">
      <alignment horizontal="center"/>
    </xf>
    <xf numFmtId="0" fontId="54" fillId="0" borderId="0" xfId="59" applyFont="1" applyBorder="1"/>
    <xf numFmtId="0" fontId="54" fillId="0" borderId="0" xfId="59" applyFont="1" applyBorder="1" applyAlignment="1">
      <alignment horizontal="center" vertical="center" wrapText="1"/>
    </xf>
    <xf numFmtId="0" fontId="54" fillId="0" borderId="64" xfId="59" applyFont="1" applyBorder="1" applyAlignment="1">
      <alignment horizontal="center" vertical="center" wrapText="1"/>
    </xf>
    <xf numFmtId="0" fontId="54" fillId="0" borderId="0" xfId="59" applyFont="1" applyAlignment="1">
      <alignment wrapText="1"/>
    </xf>
    <xf numFmtId="14" fontId="74" fillId="0" borderId="0" xfId="59" applyNumberFormat="1" applyFont="1"/>
    <xf numFmtId="0" fontId="68" fillId="46" borderId="66" xfId="59" applyFont="1" applyFill="1" applyBorder="1" applyAlignment="1">
      <alignment horizontal="center"/>
    </xf>
    <xf numFmtId="0" fontId="68" fillId="46" borderId="70" xfId="59" applyFont="1" applyFill="1" applyBorder="1" applyAlignment="1">
      <alignment horizontal="center"/>
    </xf>
    <xf numFmtId="0" fontId="68" fillId="46" borderId="71" xfId="59" applyFont="1" applyFill="1" applyBorder="1" applyAlignment="1">
      <alignment horizontal="center"/>
    </xf>
    <xf numFmtId="0" fontId="56" fillId="20" borderId="64" xfId="59" applyFont="1" applyFill="1" applyBorder="1" applyAlignment="1">
      <alignment horizontal="center" vertical="center" wrapText="1"/>
    </xf>
    <xf numFmtId="0" fontId="75" fillId="20" borderId="64" xfId="59" applyFont="1" applyFill="1" applyBorder="1" applyAlignment="1">
      <alignment horizontal="center" vertical="center" wrapText="1"/>
    </xf>
    <xf numFmtId="0" fontId="71" fillId="0" borderId="73" xfId="59" applyFont="1" applyBorder="1" applyAlignment="1">
      <alignment horizontal="center" vertical="center" wrapText="1"/>
    </xf>
    <xf numFmtId="0" fontId="71" fillId="0" borderId="72" xfId="59" applyFont="1" applyBorder="1" applyAlignment="1">
      <alignment horizontal="center" vertical="center" wrapText="1"/>
    </xf>
    <xf numFmtId="0" fontId="71" fillId="0" borderId="74" xfId="59" applyFont="1" applyBorder="1" applyAlignment="1">
      <alignment horizontal="center" vertical="center" wrapText="1"/>
    </xf>
    <xf numFmtId="0" fontId="71" fillId="0" borderId="18" xfId="59" applyFont="1" applyBorder="1" applyAlignment="1">
      <alignment horizontal="center" vertical="center" wrapText="1"/>
    </xf>
    <xf numFmtId="0" fontId="71" fillId="0" borderId="0" xfId="59" applyFont="1" applyBorder="1" applyAlignment="1">
      <alignment horizontal="center" vertical="center" wrapText="1"/>
    </xf>
    <xf numFmtId="0" fontId="71" fillId="0" borderId="22" xfId="59" applyFont="1" applyBorder="1" applyAlignment="1">
      <alignment horizontal="center" vertical="center" wrapText="1"/>
    </xf>
    <xf numFmtId="0" fontId="71" fillId="0" borderId="36" xfId="59" applyFont="1" applyBorder="1" applyAlignment="1">
      <alignment horizontal="center" vertical="center" wrapText="1"/>
    </xf>
    <xf numFmtId="0" fontId="71" fillId="0" borderId="37" xfId="59" applyFont="1" applyBorder="1" applyAlignment="1">
      <alignment horizontal="center" vertical="center" wrapText="1"/>
    </xf>
    <xf numFmtId="0" fontId="71" fillId="0" borderId="38" xfId="59" applyFont="1" applyBorder="1" applyAlignment="1">
      <alignment horizontal="center" vertical="center" wrapText="1"/>
    </xf>
  </cellXfs>
  <cellStyles count="337">
    <cellStyle name="20% - Accent1" xfId="1"/>
    <cellStyle name="20% - Accent1 2" xfId="61"/>
    <cellStyle name="20% - Accent2" xfId="2"/>
    <cellStyle name="20% - Accent2 2" xfId="62"/>
    <cellStyle name="20% - Accent3" xfId="3"/>
    <cellStyle name="20% - Accent3 2" xfId="63"/>
    <cellStyle name="20% - Accent4" xfId="4"/>
    <cellStyle name="20% - Accent4 2" xfId="64"/>
    <cellStyle name="20% - Accent5" xfId="5"/>
    <cellStyle name="20% - Accent5 2" xfId="65"/>
    <cellStyle name="20% - Accent6" xfId="6"/>
    <cellStyle name="20% - Accent6 2" xfId="66"/>
    <cellStyle name="40% - Accent1" xfId="7"/>
    <cellStyle name="40% - Accent1 2" xfId="67"/>
    <cellStyle name="40% - Accent2" xfId="8"/>
    <cellStyle name="40% - Accent2 2" xfId="68"/>
    <cellStyle name="40% - Accent3" xfId="9"/>
    <cellStyle name="40% - Accent3 2" xfId="69"/>
    <cellStyle name="40% - Accent4" xfId="10"/>
    <cellStyle name="40% - Accent4 2" xfId="70"/>
    <cellStyle name="40% - Accent5" xfId="11"/>
    <cellStyle name="40% - Accent5 2" xfId="71"/>
    <cellStyle name="40% - Accent6" xfId="12"/>
    <cellStyle name="40% - Accent6 2" xfId="72"/>
    <cellStyle name="60% - Accent1" xfId="13"/>
    <cellStyle name="60% - Accent1 2" xfId="73"/>
    <cellStyle name="60% - Accent2" xfId="14"/>
    <cellStyle name="60% - Accent2 2" xfId="74"/>
    <cellStyle name="60% - Accent3" xfId="15"/>
    <cellStyle name="60% - Accent3 2" xfId="75"/>
    <cellStyle name="60% - Accent4" xfId="16"/>
    <cellStyle name="60% - Accent4 2" xfId="76"/>
    <cellStyle name="60% - Accent5" xfId="17"/>
    <cellStyle name="60% - Accent5 2" xfId="77"/>
    <cellStyle name="60% - Accent6" xfId="18"/>
    <cellStyle name="60% - Accent6 2" xfId="78"/>
    <cellStyle name="Bad" xfId="19"/>
    <cellStyle name="Bad 2" xfId="79"/>
    <cellStyle name="Calculation" xfId="20"/>
    <cellStyle name="Calculation 2" xfId="47"/>
    <cellStyle name="Calculation 2 10" xfId="80"/>
    <cellStyle name="Calculation 2 2" xfId="81"/>
    <cellStyle name="Calculation 2 3" xfId="82"/>
    <cellStyle name="Calculation 2 4" xfId="83"/>
    <cellStyle name="Calculation 2 5" xfId="84"/>
    <cellStyle name="Calculation 2 6" xfId="85"/>
    <cellStyle name="Calculation 2 7" xfId="86"/>
    <cellStyle name="Calculation 2 8" xfId="87"/>
    <cellStyle name="Calculation 2 9" xfId="88"/>
    <cellStyle name="Calculation 3" xfId="45"/>
    <cellStyle name="Calculation 3 10" xfId="89"/>
    <cellStyle name="Calculation 3 2" xfId="90"/>
    <cellStyle name="Calculation 3 3" xfId="91"/>
    <cellStyle name="Calculation 3 4" xfId="92"/>
    <cellStyle name="Calculation 3 5" xfId="93"/>
    <cellStyle name="Calculation 3 6" xfId="94"/>
    <cellStyle name="Calculation 3 7" xfId="95"/>
    <cellStyle name="Calculation 3 8" xfId="96"/>
    <cellStyle name="Calculation 3 9" xfId="97"/>
    <cellStyle name="Calculation 4" xfId="46"/>
    <cellStyle name="Calculation 4 10" xfId="98"/>
    <cellStyle name="Calculation 4 2" xfId="99"/>
    <cellStyle name="Calculation 4 3" xfId="100"/>
    <cellStyle name="Calculation 4 4" xfId="101"/>
    <cellStyle name="Calculation 4 5" xfId="102"/>
    <cellStyle name="Calculation 4 6" xfId="103"/>
    <cellStyle name="Calculation 4 7" xfId="104"/>
    <cellStyle name="Calculation 4 8" xfId="105"/>
    <cellStyle name="Calculation 4 9" xfId="106"/>
    <cellStyle name="Calculation 5" xfId="44"/>
    <cellStyle name="Calculation 5 10" xfId="107"/>
    <cellStyle name="Calculation 5 2" xfId="108"/>
    <cellStyle name="Calculation 5 3" xfId="109"/>
    <cellStyle name="Calculation 5 4" xfId="110"/>
    <cellStyle name="Calculation 5 5" xfId="111"/>
    <cellStyle name="Calculation 5 6" xfId="112"/>
    <cellStyle name="Calculation 5 7" xfId="113"/>
    <cellStyle name="Calculation 5 8" xfId="114"/>
    <cellStyle name="Calculation 5 9" xfId="115"/>
    <cellStyle name="Calculation 6" xfId="55"/>
    <cellStyle name="Calculation 6 10" xfId="116"/>
    <cellStyle name="Calculation 6 2" xfId="117"/>
    <cellStyle name="Calculation 6 3" xfId="118"/>
    <cellStyle name="Calculation 6 4" xfId="119"/>
    <cellStyle name="Calculation 6 5" xfId="120"/>
    <cellStyle name="Calculation 6 6" xfId="121"/>
    <cellStyle name="Calculation 6 7" xfId="122"/>
    <cellStyle name="Calculation 6 8" xfId="123"/>
    <cellStyle name="Calculation 6 9" xfId="124"/>
    <cellStyle name="Calculation 7" xfId="125"/>
    <cellStyle name="Calculation 7 10" xfId="126"/>
    <cellStyle name="Calculation 7 2" xfId="127"/>
    <cellStyle name="Calculation 7 3" xfId="128"/>
    <cellStyle name="Calculation 7 4" xfId="129"/>
    <cellStyle name="Calculation 7 5" xfId="130"/>
    <cellStyle name="Calculation 7 6" xfId="131"/>
    <cellStyle name="Calculation 7 7" xfId="132"/>
    <cellStyle name="Calculation 7 8" xfId="133"/>
    <cellStyle name="Calculation 7 9" xfId="134"/>
    <cellStyle name="Calculation 8" xfId="135"/>
    <cellStyle name="Check Cell" xfId="21"/>
    <cellStyle name="Check Cell 2" xfId="136"/>
    <cellStyle name="Euro" xfId="22"/>
    <cellStyle name="Euro 2" xfId="137"/>
    <cellStyle name="Excel Built-in Normal" xfId="37"/>
    <cellStyle name="Explanatory Text" xfId="23"/>
    <cellStyle name="Explanatory Text 2" xfId="138"/>
    <cellStyle name="Good" xfId="24"/>
    <cellStyle name="Good 2" xfId="139"/>
    <cellStyle name="Heading 1" xfId="25"/>
    <cellStyle name="Heading 1 2" xfId="140"/>
    <cellStyle name="Heading 2" xfId="26"/>
    <cellStyle name="Heading 2 2" xfId="141"/>
    <cellStyle name="Heading 3" xfId="27"/>
    <cellStyle name="Heading 3 2" xfId="142"/>
    <cellStyle name="Heading 4" xfId="28"/>
    <cellStyle name="Heading 4 2" xfId="143"/>
    <cellStyle name="Input" xfId="29"/>
    <cellStyle name="Input 2" xfId="51"/>
    <cellStyle name="Input 2 10" xfId="144"/>
    <cellStyle name="Input 2 2" xfId="145"/>
    <cellStyle name="Input 2 3" xfId="146"/>
    <cellStyle name="Input 2 4" xfId="147"/>
    <cellStyle name="Input 2 5" xfId="148"/>
    <cellStyle name="Input 2 6" xfId="149"/>
    <cellStyle name="Input 2 7" xfId="150"/>
    <cellStyle name="Input 2 8" xfId="151"/>
    <cellStyle name="Input 2 9" xfId="152"/>
    <cellStyle name="Input 3" xfId="41"/>
    <cellStyle name="Input 3 10" xfId="153"/>
    <cellStyle name="Input 3 2" xfId="154"/>
    <cellStyle name="Input 3 3" xfId="155"/>
    <cellStyle name="Input 3 4" xfId="156"/>
    <cellStyle name="Input 3 5" xfId="157"/>
    <cellStyle name="Input 3 6" xfId="158"/>
    <cellStyle name="Input 3 7" xfId="159"/>
    <cellStyle name="Input 3 8" xfId="160"/>
    <cellStyle name="Input 3 9" xfId="161"/>
    <cellStyle name="Input 4" xfId="48"/>
    <cellStyle name="Input 4 10" xfId="162"/>
    <cellStyle name="Input 4 2" xfId="163"/>
    <cellStyle name="Input 4 3" xfId="164"/>
    <cellStyle name="Input 4 4" xfId="165"/>
    <cellStyle name="Input 4 5" xfId="166"/>
    <cellStyle name="Input 4 6" xfId="167"/>
    <cellStyle name="Input 4 7" xfId="168"/>
    <cellStyle name="Input 4 8" xfId="169"/>
    <cellStyle name="Input 4 9" xfId="170"/>
    <cellStyle name="Input 5" xfId="40"/>
    <cellStyle name="Input 5 10" xfId="171"/>
    <cellStyle name="Input 5 2" xfId="172"/>
    <cellStyle name="Input 5 3" xfId="173"/>
    <cellStyle name="Input 5 4" xfId="174"/>
    <cellStyle name="Input 5 5" xfId="175"/>
    <cellStyle name="Input 5 6" xfId="176"/>
    <cellStyle name="Input 5 7" xfId="177"/>
    <cellStyle name="Input 5 8" xfId="178"/>
    <cellStyle name="Input 5 9" xfId="179"/>
    <cellStyle name="Input 6" xfId="43"/>
    <cellStyle name="Input 6 10" xfId="180"/>
    <cellStyle name="Input 6 2" xfId="181"/>
    <cellStyle name="Input 6 3" xfId="182"/>
    <cellStyle name="Input 6 4" xfId="183"/>
    <cellStyle name="Input 6 5" xfId="184"/>
    <cellStyle name="Input 6 6" xfId="185"/>
    <cellStyle name="Input 6 7" xfId="186"/>
    <cellStyle name="Input 6 8" xfId="187"/>
    <cellStyle name="Input 6 9" xfId="188"/>
    <cellStyle name="Input 7" xfId="189"/>
    <cellStyle name="Input 7 10" xfId="190"/>
    <cellStyle name="Input 7 2" xfId="191"/>
    <cellStyle name="Input 7 3" xfId="192"/>
    <cellStyle name="Input 7 4" xfId="193"/>
    <cellStyle name="Input 7 5" xfId="194"/>
    <cellStyle name="Input 7 6" xfId="195"/>
    <cellStyle name="Input 7 7" xfId="196"/>
    <cellStyle name="Input 7 8" xfId="197"/>
    <cellStyle name="Input 7 9" xfId="198"/>
    <cellStyle name="Input 8" xfId="199"/>
    <cellStyle name="Linked Cell" xfId="30"/>
    <cellStyle name="Linked Cell 2" xfId="200"/>
    <cellStyle name="Monétaire 2" xfId="56"/>
    <cellStyle name="Monétaire 2 2" xfId="201"/>
    <cellStyle name="Neutral" xfId="31"/>
    <cellStyle name="Neutral 2" xfId="202"/>
    <cellStyle name="Normal" xfId="0" builtinId="0"/>
    <cellStyle name="Normal 2" xfId="36"/>
    <cellStyle name="Normal 2 2" xfId="60"/>
    <cellStyle name="Normal 2 2 2" xfId="203"/>
    <cellStyle name="Normal 2 2 3" xfId="204"/>
    <cellStyle name="Normal 2 3" xfId="205"/>
    <cellStyle name="Normal 3" xfId="59"/>
    <cellStyle name="Normal 3 2" xfId="206"/>
    <cellStyle name="Normal 3 2 2" xfId="207"/>
    <cellStyle name="Normal 3 2 3" xfId="208"/>
    <cellStyle name="Normal 3 3" xfId="209"/>
    <cellStyle name="Normal 3 4" xfId="210"/>
    <cellStyle name="Normal 4" xfId="211"/>
    <cellStyle name="Normal 4 2" xfId="212"/>
    <cellStyle name="Normal 4 2 2" xfId="213"/>
    <cellStyle name="Normal 4 2 3" xfId="214"/>
    <cellStyle name="Normal 4 3" xfId="215"/>
    <cellStyle name="Normal 4 4" xfId="216"/>
    <cellStyle name="Normal 5" xfId="217"/>
    <cellStyle name="Normal 5 2" xfId="218"/>
    <cellStyle name="Note" xfId="32"/>
    <cellStyle name="Note 2" xfId="53"/>
    <cellStyle name="Note 2 10" xfId="219"/>
    <cellStyle name="Note 2 2" xfId="220"/>
    <cellStyle name="Note 2 3" xfId="221"/>
    <cellStyle name="Note 2 4" xfId="222"/>
    <cellStyle name="Note 2 5" xfId="223"/>
    <cellStyle name="Note 2 6" xfId="224"/>
    <cellStyle name="Note 2 7" xfId="225"/>
    <cellStyle name="Note 2 8" xfId="226"/>
    <cellStyle name="Note 2 9" xfId="227"/>
    <cellStyle name="Note 3" xfId="58"/>
    <cellStyle name="Note 3 10" xfId="228"/>
    <cellStyle name="Note 3 2" xfId="229"/>
    <cellStyle name="Note 3 3" xfId="230"/>
    <cellStyle name="Note 3 4" xfId="231"/>
    <cellStyle name="Note 3 5" xfId="232"/>
    <cellStyle name="Note 3 6" xfId="233"/>
    <cellStyle name="Note 3 7" xfId="234"/>
    <cellStyle name="Note 3 8" xfId="235"/>
    <cellStyle name="Note 3 9" xfId="236"/>
    <cellStyle name="Note 4" xfId="49"/>
    <cellStyle name="Note 4 10" xfId="237"/>
    <cellStyle name="Note 4 2" xfId="238"/>
    <cellStyle name="Note 4 3" xfId="239"/>
    <cellStyle name="Note 4 4" xfId="240"/>
    <cellStyle name="Note 4 5" xfId="241"/>
    <cellStyle name="Note 4 6" xfId="242"/>
    <cellStyle name="Note 4 7" xfId="243"/>
    <cellStyle name="Note 4 8" xfId="244"/>
    <cellStyle name="Note 4 9" xfId="245"/>
    <cellStyle name="Note 5" xfId="52"/>
    <cellStyle name="Note 5 10" xfId="246"/>
    <cellStyle name="Note 5 2" xfId="247"/>
    <cellStyle name="Note 5 3" xfId="248"/>
    <cellStyle name="Note 5 4" xfId="249"/>
    <cellStyle name="Note 5 5" xfId="250"/>
    <cellStyle name="Note 5 6" xfId="251"/>
    <cellStyle name="Note 5 7" xfId="252"/>
    <cellStyle name="Note 5 8" xfId="253"/>
    <cellStyle name="Note 5 9" xfId="254"/>
    <cellStyle name="Note 6" xfId="42"/>
    <cellStyle name="Note 6 10" xfId="255"/>
    <cellStyle name="Note 6 2" xfId="256"/>
    <cellStyle name="Note 6 3" xfId="257"/>
    <cellStyle name="Note 6 4" xfId="258"/>
    <cellStyle name="Note 6 5" xfId="259"/>
    <cellStyle name="Note 6 6" xfId="260"/>
    <cellStyle name="Note 6 7" xfId="261"/>
    <cellStyle name="Note 6 8" xfId="262"/>
    <cellStyle name="Note 6 9" xfId="263"/>
    <cellStyle name="Note 7" xfId="264"/>
    <cellStyle name="Note 7 10" xfId="265"/>
    <cellStyle name="Note 7 2" xfId="266"/>
    <cellStyle name="Note 7 3" xfId="267"/>
    <cellStyle name="Note 7 4" xfId="268"/>
    <cellStyle name="Note 7 5" xfId="269"/>
    <cellStyle name="Note 7 6" xfId="270"/>
    <cellStyle name="Note 7 7" xfId="271"/>
    <cellStyle name="Note 7 8" xfId="272"/>
    <cellStyle name="Note 7 9" xfId="273"/>
    <cellStyle name="Note 8" xfId="274"/>
    <cellStyle name="Output" xfId="33"/>
    <cellStyle name="Output 2" xfId="54"/>
    <cellStyle name="Output 2 10" xfId="275"/>
    <cellStyle name="Output 2 2" xfId="276"/>
    <cellStyle name="Output 2 3" xfId="277"/>
    <cellStyle name="Output 2 4" xfId="278"/>
    <cellStyle name="Output 2 5" xfId="279"/>
    <cellStyle name="Output 2 6" xfId="280"/>
    <cellStyle name="Output 2 7" xfId="281"/>
    <cellStyle name="Output 2 8" xfId="282"/>
    <cellStyle name="Output 2 9" xfId="283"/>
    <cellStyle name="Output 3" xfId="39"/>
    <cellStyle name="Output 3 10" xfId="284"/>
    <cellStyle name="Output 3 2" xfId="285"/>
    <cellStyle name="Output 3 3" xfId="286"/>
    <cellStyle name="Output 3 4" xfId="287"/>
    <cellStyle name="Output 3 5" xfId="288"/>
    <cellStyle name="Output 3 6" xfId="289"/>
    <cellStyle name="Output 3 7" xfId="290"/>
    <cellStyle name="Output 3 8" xfId="291"/>
    <cellStyle name="Output 3 9" xfId="292"/>
    <cellStyle name="Output 4" xfId="50"/>
    <cellStyle name="Output 4 10" xfId="293"/>
    <cellStyle name="Output 4 2" xfId="294"/>
    <cellStyle name="Output 4 3" xfId="295"/>
    <cellStyle name="Output 4 4" xfId="296"/>
    <cellStyle name="Output 4 5" xfId="297"/>
    <cellStyle name="Output 4 6" xfId="298"/>
    <cellStyle name="Output 4 7" xfId="299"/>
    <cellStyle name="Output 4 8" xfId="300"/>
    <cellStyle name="Output 4 9" xfId="301"/>
    <cellStyle name="Output 5" xfId="38"/>
    <cellStyle name="Output 5 10" xfId="302"/>
    <cellStyle name="Output 5 2" xfId="303"/>
    <cellStyle name="Output 5 3" xfId="304"/>
    <cellStyle name="Output 5 4" xfId="305"/>
    <cellStyle name="Output 5 5" xfId="306"/>
    <cellStyle name="Output 5 6" xfId="307"/>
    <cellStyle name="Output 5 7" xfId="308"/>
    <cellStyle name="Output 5 8" xfId="309"/>
    <cellStyle name="Output 5 9" xfId="310"/>
    <cellStyle name="Output 6" xfId="57"/>
    <cellStyle name="Output 6 10" xfId="311"/>
    <cellStyle name="Output 6 2" xfId="312"/>
    <cellStyle name="Output 6 3" xfId="313"/>
    <cellStyle name="Output 6 4" xfId="314"/>
    <cellStyle name="Output 6 5" xfId="315"/>
    <cellStyle name="Output 6 6" xfId="316"/>
    <cellStyle name="Output 6 7" xfId="317"/>
    <cellStyle name="Output 6 8" xfId="318"/>
    <cellStyle name="Output 6 9" xfId="319"/>
    <cellStyle name="Output 7" xfId="320"/>
    <cellStyle name="Output 7 10" xfId="321"/>
    <cellStyle name="Output 7 2" xfId="322"/>
    <cellStyle name="Output 7 3" xfId="323"/>
    <cellStyle name="Output 7 4" xfId="324"/>
    <cellStyle name="Output 7 5" xfId="325"/>
    <cellStyle name="Output 7 6" xfId="326"/>
    <cellStyle name="Output 7 7" xfId="327"/>
    <cellStyle name="Output 7 8" xfId="328"/>
    <cellStyle name="Output 7 9" xfId="329"/>
    <cellStyle name="Output 8" xfId="330"/>
    <cellStyle name="Pourcentage 2" xfId="331"/>
    <cellStyle name="Pourcentage 2 2" xfId="332"/>
    <cellStyle name="Pourcentage 3" xfId="333"/>
    <cellStyle name="Pourcentage 3 2" xfId="334"/>
    <cellStyle name="Title" xfId="34"/>
    <cellStyle name="Title 2" xfId="335"/>
    <cellStyle name="Warning Text" xfId="35"/>
    <cellStyle name="Warning Text 2" xfId="336"/>
  </cellStyles>
  <dxfs count="0"/>
  <tableStyles count="0" defaultTableStyle="TableStyleMedium9" defaultPivotStyle="PivotStyleLight16"/>
  <colors>
    <mruColors>
      <color rgb="FFE4231B"/>
      <color rgb="FF144583"/>
      <color rgb="FF0000FF"/>
      <color rgb="FFC4D79B"/>
      <color rgb="FFFFFF99"/>
      <color rgb="FFDA9694"/>
      <color rgb="FFCCFF99"/>
      <color rgb="FFCCFFCC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99060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118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434340</xdr:colOff>
      <xdr:row>80</xdr:row>
      <xdr:rowOff>60960</xdr:rowOff>
    </xdr:from>
    <xdr:ext cx="184731" cy="264560"/>
    <xdr:sp macro="" textlink="">
      <xdr:nvSpPr>
        <xdr:cNvPr id="2" name="ZoneTexte 1"/>
        <xdr:cNvSpPr txBox="1"/>
      </xdr:nvSpPr>
      <xdr:spPr>
        <a:xfrm>
          <a:off x="7703820" y="1072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%20FFDF/Commissions/Commission%20organisation/Archives/Saison%202010-2011/Indoor/Plannings%20indoor%202010-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ampionnat%20Indoor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s aller"/>
      <sheetName val="poules retour"/>
      <sheetName val="club-ville"/>
      <sheetName val="Résultats"/>
      <sheetName val="D1Aller"/>
      <sheetName val="D1Retour"/>
      <sheetName val="Résultats D1"/>
      <sheetName val="EDJ D1"/>
      <sheetName val="D2Aller"/>
      <sheetName val="D2Retour"/>
      <sheetName val="Résultats D2"/>
      <sheetName val="EDJ D2"/>
      <sheetName val="D3Aller"/>
      <sheetName val="D3Retour"/>
      <sheetName val="Résultats D3"/>
      <sheetName val="EDJ D3"/>
      <sheetName val="Play-Off"/>
      <sheetName val="Résultats Play-off"/>
      <sheetName val="EDJ Play-off"/>
      <sheetName val="DR1A"/>
      <sheetName val="Résultats DR1A"/>
      <sheetName val="EDJ DR1A"/>
      <sheetName val="DR1E"/>
      <sheetName val="Résultats DR1E"/>
      <sheetName val="EDJ DR1E"/>
      <sheetName val="DR1M"/>
      <sheetName val="Résultats DR1M"/>
      <sheetName val="EDJ DR1M"/>
      <sheetName val="DR1NI"/>
      <sheetName val="Résultats DR1NI"/>
      <sheetName val="EDJ DR1NI"/>
      <sheetName val="DR2A"/>
      <sheetName val="Résultats DR2A"/>
      <sheetName val="EDJ DR2A"/>
      <sheetName val="DR2M"/>
      <sheetName val="Résultats DR2M"/>
      <sheetName val="EDJ DR2M"/>
      <sheetName val="DR2NIAller"/>
      <sheetName val="DR2NIRetour"/>
      <sheetName val="Résultats DR2NI"/>
      <sheetName val="EDJ DR2NI"/>
    </sheetNames>
    <sheetDataSet>
      <sheetData sheetId="0"/>
      <sheetData sheetId="1"/>
      <sheetData sheetId="2">
        <row r="2">
          <cell r="A2" t="str">
            <v>33 Tours</v>
          </cell>
          <cell r="B2" t="str">
            <v>Bordeaux</v>
          </cell>
        </row>
        <row r="3">
          <cell r="A3" t="str">
            <v>33 Tours 2</v>
          </cell>
          <cell r="B3" t="str">
            <v>Bordeaux</v>
          </cell>
        </row>
        <row r="4">
          <cell r="A4" t="str">
            <v>Ah Ouh PUC</v>
          </cell>
          <cell r="B4" t="str">
            <v>Paris</v>
          </cell>
        </row>
        <row r="5">
          <cell r="A5" t="str">
            <v>Ah Ouh PUC 2</v>
          </cell>
          <cell r="B5" t="str">
            <v>Paris</v>
          </cell>
        </row>
        <row r="6">
          <cell r="A6" t="str">
            <v>Ah Ouh PUC 3</v>
          </cell>
          <cell r="B6" t="str">
            <v>Paris</v>
          </cell>
        </row>
        <row r="7">
          <cell r="A7" t="str">
            <v>Anges des Monts</v>
          </cell>
          <cell r="B7" t="str">
            <v>Notre Dame de Monts</v>
          </cell>
        </row>
        <row r="8">
          <cell r="A8" t="str">
            <v>APUCalypste</v>
          </cell>
          <cell r="B8" t="str">
            <v>Paris</v>
          </cell>
        </row>
        <row r="9">
          <cell r="A9" t="str">
            <v>BTRex</v>
          </cell>
          <cell r="B9" t="str">
            <v>Toulouse</v>
          </cell>
        </row>
        <row r="10">
          <cell r="A10" t="str">
            <v>BTRookies</v>
          </cell>
          <cell r="B10" t="str">
            <v>Toulouse</v>
          </cell>
        </row>
        <row r="11">
          <cell r="A11" t="str">
            <v>BTRaves</v>
          </cell>
          <cell r="B11" t="str">
            <v>Toulouse</v>
          </cell>
        </row>
        <row r="12">
          <cell r="A12" t="str">
            <v>BTRaifort</v>
          </cell>
          <cell r="B12" t="str">
            <v>Toulouse</v>
          </cell>
        </row>
        <row r="13">
          <cell r="A13" t="str">
            <v>BonDiscManche</v>
          </cell>
          <cell r="B13" t="str">
            <v>Noisy Le Sec</v>
          </cell>
        </row>
        <row r="14">
          <cell r="A14" t="str">
            <v>Breizh Storming</v>
          </cell>
          <cell r="B14" t="str">
            <v>Lanion / Brest</v>
          </cell>
        </row>
        <row r="15">
          <cell r="A15" t="str">
            <v>BZ Diskuizh</v>
          </cell>
          <cell r="B15" t="str">
            <v>Brest</v>
          </cell>
        </row>
        <row r="16">
          <cell r="A16" t="str">
            <v>BZ Krampouz</v>
          </cell>
          <cell r="B16" t="str">
            <v>Lannion</v>
          </cell>
        </row>
        <row r="17">
          <cell r="A17" t="str">
            <v>Contact Disc</v>
          </cell>
          <cell r="B17" t="str">
            <v>Le Brouzil</v>
          </cell>
        </row>
        <row r="18">
          <cell r="A18" t="str">
            <v>Contact Disc 2</v>
          </cell>
          <cell r="B18" t="str">
            <v>Le Brouzil</v>
          </cell>
        </row>
        <row r="19">
          <cell r="A19" t="str">
            <v>Contact Bis</v>
          </cell>
          <cell r="B19" t="str">
            <v>Le Brouzil</v>
          </cell>
        </row>
        <row r="20">
          <cell r="A20" t="str">
            <v>Disc'Lexiques</v>
          </cell>
          <cell r="B20" t="str">
            <v>Bailly-Romainvilliers</v>
          </cell>
        </row>
        <row r="21">
          <cell r="A21" t="str">
            <v>Disc'Lexiques 2</v>
          </cell>
          <cell r="B21" t="str">
            <v>Bailly-Romainvilliers</v>
          </cell>
        </row>
        <row r="22">
          <cell r="A22" t="str">
            <v>Discjonctés</v>
          </cell>
          <cell r="B22" t="str">
            <v>Dijon</v>
          </cell>
        </row>
        <row r="23">
          <cell r="A23" t="str">
            <v>Dragon's Alpha</v>
          </cell>
          <cell r="B23" t="str">
            <v>La Roche / Yon</v>
          </cell>
        </row>
        <row r="24">
          <cell r="A24" t="str">
            <v>Dragon's Delta</v>
          </cell>
          <cell r="B24" t="str">
            <v>La Roche / Yon</v>
          </cell>
        </row>
        <row r="25">
          <cell r="A25" t="str">
            <v>Eul'Chtimate</v>
          </cell>
          <cell r="B25" t="str">
            <v>Lille</v>
          </cell>
        </row>
        <row r="26">
          <cell r="A26" t="str">
            <v>Everest</v>
          </cell>
          <cell r="B26" t="str">
            <v>Pontarlier</v>
          </cell>
        </row>
        <row r="27">
          <cell r="A27" t="str">
            <v>Flep Intox</v>
          </cell>
          <cell r="B27" t="str">
            <v>Carrières sous Poissy</v>
          </cell>
        </row>
        <row r="28">
          <cell r="A28" t="str">
            <v>Fly Disc'R</v>
          </cell>
          <cell r="B28" t="str">
            <v>Orléans</v>
          </cell>
        </row>
        <row r="29">
          <cell r="A29" t="str">
            <v>Flying Carpet</v>
          </cell>
          <cell r="B29" t="str">
            <v>Pontarlier</v>
          </cell>
        </row>
        <row r="30">
          <cell r="A30" t="str">
            <v>Freezgo</v>
          </cell>
          <cell r="B30" t="str">
            <v>Blois</v>
          </cell>
        </row>
        <row r="31">
          <cell r="A31" t="str">
            <v>Freezgo Uno</v>
          </cell>
          <cell r="B31" t="str">
            <v>Blois</v>
          </cell>
        </row>
        <row r="32">
          <cell r="A32" t="str">
            <v>Freezgo Cuatro</v>
          </cell>
          <cell r="B32" t="str">
            <v>Blois</v>
          </cell>
        </row>
        <row r="33">
          <cell r="A33" t="str">
            <v>Frisbeurs</v>
          </cell>
          <cell r="B33" t="str">
            <v>Nantes</v>
          </cell>
        </row>
        <row r="34">
          <cell r="A34" t="str">
            <v>Frisbeurs 2</v>
          </cell>
          <cell r="B34" t="str">
            <v>Nantes</v>
          </cell>
        </row>
        <row r="35">
          <cell r="A35" t="str">
            <v>Frisbeurs 3</v>
          </cell>
          <cell r="B35" t="str">
            <v>Nantes</v>
          </cell>
        </row>
        <row r="36">
          <cell r="A36" t="str">
            <v>Friz'Bisontins</v>
          </cell>
          <cell r="B36" t="str">
            <v>Besançon</v>
          </cell>
        </row>
        <row r="37">
          <cell r="A37" t="str">
            <v>Friz'Bison'Deux</v>
          </cell>
          <cell r="B37" t="str">
            <v>Besançon</v>
          </cell>
        </row>
        <row r="38">
          <cell r="A38" t="str">
            <v>Friselis</v>
          </cell>
          <cell r="B38" t="str">
            <v>Versailles</v>
          </cell>
        </row>
        <row r="39">
          <cell r="A39" t="str">
            <v>Friselis 2</v>
          </cell>
          <cell r="B39" t="str">
            <v>Versailles</v>
          </cell>
        </row>
        <row r="40">
          <cell r="A40" t="str">
            <v>Friselis 3</v>
          </cell>
          <cell r="B40" t="str">
            <v>Versailles</v>
          </cell>
        </row>
        <row r="41">
          <cell r="A41" t="str">
            <v>Friz'Toi</v>
          </cell>
          <cell r="B41" t="str">
            <v>Luzarches</v>
          </cell>
        </row>
        <row r="42">
          <cell r="A42" t="str">
            <v>Friz'Toi 2</v>
          </cell>
          <cell r="B42" t="str">
            <v>Luzarches</v>
          </cell>
        </row>
        <row r="43">
          <cell r="A43" t="str">
            <v>Fumble</v>
          </cell>
          <cell r="B43" t="str">
            <v>Veauche</v>
          </cell>
        </row>
        <row r="44">
          <cell r="A44" t="str">
            <v>Hot</v>
          </cell>
          <cell r="B44" t="str">
            <v>La Celle St Cloud</v>
          </cell>
        </row>
        <row r="45">
          <cell r="A45" t="str">
            <v>Hot 2</v>
          </cell>
          <cell r="B45" t="str">
            <v>La Celle St Cloud</v>
          </cell>
        </row>
        <row r="46">
          <cell r="A46" t="str">
            <v>Hultic</v>
          </cell>
          <cell r="B46" t="str">
            <v>Le Havre</v>
          </cell>
        </row>
        <row r="47">
          <cell r="A47" t="str">
            <v>Izaka</v>
          </cell>
          <cell r="B47" t="str">
            <v>Noisy Le Sec</v>
          </cell>
        </row>
        <row r="48">
          <cell r="A48" t="str">
            <v>Iznogood</v>
          </cell>
          <cell r="B48" t="str">
            <v>Noisy Le Sec</v>
          </cell>
        </row>
        <row r="49">
          <cell r="A49" t="str">
            <v>Jack'Suns</v>
          </cell>
          <cell r="B49" t="str">
            <v>Fontenay Le Comte</v>
          </cell>
        </row>
        <row r="50">
          <cell r="A50" t="str">
            <v>Jack'Suns 2</v>
          </cell>
          <cell r="B50" t="str">
            <v>Fontenay Le Comte</v>
          </cell>
        </row>
        <row r="51">
          <cell r="A51" t="str">
            <v>KLB</v>
          </cell>
          <cell r="B51" t="str">
            <v>Pertuis</v>
          </cell>
        </row>
        <row r="52">
          <cell r="A52" t="str">
            <v>La Bourrasque</v>
          </cell>
          <cell r="B52" t="str">
            <v>Créhange</v>
          </cell>
        </row>
        <row r="53">
          <cell r="A53" t="str">
            <v>Le NUC</v>
          </cell>
          <cell r="B53" t="str">
            <v>Niort</v>
          </cell>
        </row>
        <row r="54">
          <cell r="A54" t="str">
            <v>Les Allumates</v>
          </cell>
          <cell r="B54" t="str">
            <v>Evreux</v>
          </cell>
        </row>
        <row r="55">
          <cell r="A55" t="str">
            <v>Les Allumates 2</v>
          </cell>
          <cell r="B55" t="str">
            <v>Evreux</v>
          </cell>
        </row>
        <row r="56">
          <cell r="A56" t="str">
            <v>Magic Disc</v>
          </cell>
          <cell r="B56" t="str">
            <v>Angers</v>
          </cell>
        </row>
        <row r="57">
          <cell r="A57" t="str">
            <v>Magic Disc 2</v>
          </cell>
          <cell r="B57" t="str">
            <v>Angers</v>
          </cell>
        </row>
        <row r="58">
          <cell r="A58" t="str">
            <v>Manchots</v>
          </cell>
          <cell r="B58" t="str">
            <v>Le Mans</v>
          </cell>
        </row>
        <row r="59">
          <cell r="A59" t="str">
            <v>Mr Friz</v>
          </cell>
          <cell r="B59" t="str">
            <v>Rennes</v>
          </cell>
        </row>
        <row r="60">
          <cell r="A60" t="str">
            <v>Mr Friz 2</v>
          </cell>
          <cell r="B60" t="str">
            <v>Rennes</v>
          </cell>
        </row>
        <row r="61">
          <cell r="A61" t="str">
            <v>Mr Friz Fresh Fever</v>
          </cell>
          <cell r="B61" t="str">
            <v>Rennes</v>
          </cell>
        </row>
        <row r="62">
          <cell r="A62" t="str">
            <v>Mr Friz Funky Fools</v>
          </cell>
          <cell r="B62" t="str">
            <v>Rennes</v>
          </cell>
        </row>
        <row r="63">
          <cell r="A63" t="str">
            <v>Mr Friz Furious Five</v>
          </cell>
          <cell r="B63" t="str">
            <v>Rennes</v>
          </cell>
        </row>
        <row r="64">
          <cell r="A64" t="str">
            <v>Mistix</v>
          </cell>
          <cell r="B64" t="str">
            <v>Lyon</v>
          </cell>
        </row>
        <row r="65">
          <cell r="A65" t="str">
            <v>Monkey</v>
          </cell>
          <cell r="B65" t="str">
            <v>Grenoble</v>
          </cell>
        </row>
        <row r="66">
          <cell r="A66" t="str">
            <v>Monkey 2</v>
          </cell>
          <cell r="B66" t="str">
            <v>Grenoble</v>
          </cell>
        </row>
        <row r="67">
          <cell r="A67" t="str">
            <v>Mosquidos</v>
          </cell>
          <cell r="B67" t="str">
            <v>Lyon</v>
          </cell>
        </row>
        <row r="68">
          <cell r="A68" t="str">
            <v>Moustix</v>
          </cell>
          <cell r="B68" t="str">
            <v>Lyon</v>
          </cell>
        </row>
        <row r="69">
          <cell r="A69" t="str">
            <v>Moustix 3</v>
          </cell>
          <cell r="B69" t="str">
            <v>Lyon</v>
          </cell>
        </row>
        <row r="70">
          <cell r="A70" t="str">
            <v>Normandix</v>
          </cell>
          <cell r="B70" t="str">
            <v>Caen</v>
          </cell>
        </row>
        <row r="71">
          <cell r="A71" t="str">
            <v>Ultimate Flying Cows</v>
          </cell>
          <cell r="B71" t="str">
            <v>Caen</v>
          </cell>
        </row>
        <row r="72">
          <cell r="A72" t="str">
            <v>NUC two</v>
          </cell>
          <cell r="B72" t="str">
            <v>Niort</v>
          </cell>
        </row>
        <row r="73">
          <cell r="A73" t="str">
            <v>OUF</v>
          </cell>
          <cell r="B73" t="str">
            <v>Joué-Lès-Tours</v>
          </cell>
        </row>
        <row r="74">
          <cell r="A74" t="str">
            <v>OUF 2</v>
          </cell>
          <cell r="B74" t="str">
            <v>Joué-Lès-Tours</v>
          </cell>
        </row>
        <row r="75">
          <cell r="A75" t="str">
            <v>Phoenix</v>
          </cell>
          <cell r="B75" t="str">
            <v>Montrouge</v>
          </cell>
        </row>
        <row r="76">
          <cell r="A76" t="str">
            <v>Phoenix Piou</v>
          </cell>
          <cell r="B76" t="str">
            <v>Montrouge</v>
          </cell>
        </row>
        <row r="77">
          <cell r="A77" t="str">
            <v>Phoenix 3</v>
          </cell>
          <cell r="B77" t="str">
            <v>Montrouge</v>
          </cell>
        </row>
        <row r="78">
          <cell r="A78" t="str">
            <v>Psykies</v>
          </cell>
          <cell r="B78" t="str">
            <v>Nancy</v>
          </cell>
        </row>
        <row r="79">
          <cell r="A79" t="str">
            <v>Psyko</v>
          </cell>
          <cell r="B79" t="str">
            <v>Nancy</v>
          </cell>
        </row>
        <row r="80">
          <cell r="A80" t="str">
            <v>CS-Révolution'Air</v>
          </cell>
          <cell r="B80" t="str">
            <v>Paris</v>
          </cell>
        </row>
        <row r="81">
          <cell r="A81" t="str">
            <v>CS-Révolution'Air 2</v>
          </cell>
          <cell r="B81" t="str">
            <v>Paris</v>
          </cell>
        </row>
        <row r="82">
          <cell r="A82" t="str">
            <v>Révolution'Air</v>
          </cell>
          <cell r="B82" t="str">
            <v>Paris</v>
          </cell>
        </row>
        <row r="83">
          <cell r="A83" t="str">
            <v>Révolution'Air 2</v>
          </cell>
          <cell r="B83" t="str">
            <v>Paris</v>
          </cell>
        </row>
        <row r="84">
          <cell r="A84" t="str">
            <v>RFO</v>
          </cell>
          <cell r="B84" t="str">
            <v>Ile de Ré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-ville"/>
      <sheetName val="Poules"/>
      <sheetName val="Résultats"/>
      <sheetName val="Organisation Indoor"/>
      <sheetName val="D1Aller"/>
      <sheetName val="D1Retour"/>
      <sheetName val="Résultats D1"/>
      <sheetName val="D2Aller"/>
      <sheetName val="D2Retour"/>
      <sheetName val="Résultats D2"/>
      <sheetName val="D3ZA"/>
      <sheetName val="Résultats D3ZA"/>
      <sheetName val="D3ZB"/>
      <sheetName val="Résultats D3ZB"/>
      <sheetName val="D3ZC"/>
      <sheetName val="Résultats D3ZC"/>
    </sheetNames>
    <sheetDataSet>
      <sheetData sheetId="0">
        <row r="1">
          <cell r="A1" t="str">
            <v>Equipe</v>
          </cell>
          <cell r="B1" t="str">
            <v>Ville</v>
          </cell>
        </row>
        <row r="2">
          <cell r="A2" t="str">
            <v>33 Tours</v>
          </cell>
          <cell r="B2" t="str">
            <v>Bordeaux</v>
          </cell>
        </row>
        <row r="3">
          <cell r="A3" t="str">
            <v>33 Tours 2</v>
          </cell>
          <cell r="B3" t="str">
            <v>Bordeaux</v>
          </cell>
        </row>
        <row r="4">
          <cell r="A4" t="str">
            <v>Ah Ouh PUC</v>
          </cell>
          <cell r="B4" t="str">
            <v>Paris</v>
          </cell>
        </row>
        <row r="5">
          <cell r="A5" t="str">
            <v>Ah Ouh PUC 2</v>
          </cell>
          <cell r="B5" t="str">
            <v>Paris</v>
          </cell>
        </row>
        <row r="6">
          <cell r="A6" t="str">
            <v>Ah Ouh PUC 3</v>
          </cell>
          <cell r="B6" t="str">
            <v>Paris</v>
          </cell>
        </row>
        <row r="7">
          <cell r="A7" t="str">
            <v>Ah Ouh PUC 4</v>
          </cell>
          <cell r="B7" t="str">
            <v>Paris</v>
          </cell>
        </row>
        <row r="8">
          <cell r="A8" t="str">
            <v>Anges des Monts</v>
          </cell>
          <cell r="B8" t="str">
            <v>Challans</v>
          </cell>
        </row>
        <row r="9">
          <cell r="A9" t="str">
            <v>APUCalypse</v>
          </cell>
          <cell r="B9" t="str">
            <v>Paris</v>
          </cell>
        </row>
        <row r="10">
          <cell r="A10" t="str">
            <v>AS Mer</v>
          </cell>
          <cell r="B10" t="str">
            <v>Mer</v>
          </cell>
        </row>
        <row r="11">
          <cell r="A11" t="str">
            <v>AS Beaugency</v>
          </cell>
          <cell r="B11" t="str">
            <v>Beaugency</v>
          </cell>
        </row>
        <row r="12">
          <cell r="A12" t="str">
            <v>AST Ultimate</v>
          </cell>
          <cell r="B12" t="str">
            <v>Châteauneuf en Thymerais</v>
          </cell>
        </row>
        <row r="13">
          <cell r="A13" t="str">
            <v>CHUT</v>
          </cell>
          <cell r="B13" t="str">
            <v>Châteauneuf en Thymerais</v>
          </cell>
        </row>
        <row r="14">
          <cell r="A14" t="str">
            <v>BTRex</v>
          </cell>
          <cell r="B14" t="str">
            <v>Toulouse</v>
          </cell>
        </row>
        <row r="15">
          <cell r="A15" t="str">
            <v>BTRookies</v>
          </cell>
          <cell r="B15" t="str">
            <v>Toulouse</v>
          </cell>
        </row>
        <row r="16">
          <cell r="A16" t="str">
            <v>BTRaves</v>
          </cell>
          <cell r="B16" t="str">
            <v>Toulouse</v>
          </cell>
        </row>
        <row r="17">
          <cell r="A17" t="str">
            <v>BTRaifort</v>
          </cell>
          <cell r="B17" t="str">
            <v>Toulouse</v>
          </cell>
        </row>
        <row r="18">
          <cell r="A18" t="str">
            <v>BonDiscManche</v>
          </cell>
          <cell r="B18" t="str">
            <v>Noisy Le Sec</v>
          </cell>
        </row>
        <row r="19">
          <cell r="A19" t="str">
            <v>Breizhstorming</v>
          </cell>
          <cell r="B19" t="str">
            <v>Lanion / Brest</v>
          </cell>
        </row>
        <row r="20">
          <cell r="A20" t="str">
            <v>Disctroy(es)</v>
          </cell>
          <cell r="B20" t="str">
            <v>Troyes</v>
          </cell>
        </row>
        <row r="21">
          <cell r="A21" t="str">
            <v>Diskuizh</v>
          </cell>
          <cell r="B21" t="str">
            <v>Brest</v>
          </cell>
        </row>
        <row r="22">
          <cell r="A22" t="str">
            <v>Diskuizh 2</v>
          </cell>
          <cell r="B22" t="str">
            <v>Brest</v>
          </cell>
        </row>
        <row r="23">
          <cell r="A23" t="str">
            <v>Krampouz</v>
          </cell>
          <cell r="B23" t="str">
            <v>Lannion</v>
          </cell>
        </row>
        <row r="24">
          <cell r="A24" t="str">
            <v>Chamber'Monts Disque</v>
          </cell>
          <cell r="B24" t="str">
            <v>Chambéry</v>
          </cell>
        </row>
        <row r="25">
          <cell r="A25" t="str">
            <v>Yléou Monts Disque</v>
          </cell>
          <cell r="B25" t="str">
            <v>Chambéry</v>
          </cell>
        </row>
        <row r="26">
          <cell r="A26" t="str">
            <v>Contact Disc</v>
          </cell>
          <cell r="B26" t="str">
            <v>Les Brouzils</v>
          </cell>
        </row>
        <row r="27">
          <cell r="A27" t="str">
            <v>Contact Disc 2</v>
          </cell>
          <cell r="B27" t="str">
            <v>Les Brouzils</v>
          </cell>
        </row>
        <row r="28">
          <cell r="A28" t="str">
            <v>Contact Bis</v>
          </cell>
          <cell r="B28" t="str">
            <v>Les Brouzils</v>
          </cell>
        </row>
        <row r="29">
          <cell r="A29" t="str">
            <v>Fus'Yon</v>
          </cell>
          <cell r="B29" t="str">
            <v>La Roche sur Yon</v>
          </cell>
        </row>
        <row r="30">
          <cell r="A30" t="str">
            <v>CUB</v>
          </cell>
          <cell r="B30" t="str">
            <v>Pau</v>
          </cell>
        </row>
        <row r="31">
          <cell r="A31" t="str">
            <v>Bear'n Storm</v>
          </cell>
          <cell r="B31" t="str">
            <v>Pau</v>
          </cell>
        </row>
        <row r="32">
          <cell r="A32" t="str">
            <v>CUT</v>
          </cell>
          <cell r="B32" t="str">
            <v>Chartres</v>
          </cell>
        </row>
        <row r="33">
          <cell r="A33" t="str">
            <v>Céréales Killers</v>
          </cell>
          <cell r="B33" t="str">
            <v>Chartres</v>
          </cell>
        </row>
        <row r="34">
          <cell r="A34" t="str">
            <v>Cut and Catch</v>
          </cell>
          <cell r="B34" t="str">
            <v>Chartres</v>
          </cell>
        </row>
        <row r="35">
          <cell r="A35" t="str">
            <v>Dahultimate</v>
          </cell>
          <cell r="B35" t="str">
            <v>Seynod</v>
          </cell>
        </row>
        <row r="36">
          <cell r="A36" t="str">
            <v>Bouquetin</v>
          </cell>
          <cell r="B36" t="str">
            <v>Seynod</v>
          </cell>
        </row>
        <row r="37">
          <cell r="A37" t="str">
            <v>Choucas</v>
          </cell>
          <cell r="B37" t="str">
            <v>Seynod</v>
          </cell>
        </row>
        <row r="38">
          <cell r="A38" t="str">
            <v>Dahus</v>
          </cell>
          <cell r="B38" t="str">
            <v>Seynod</v>
          </cell>
        </row>
        <row r="39">
          <cell r="A39" t="str">
            <v>Disc'Lexiques</v>
          </cell>
          <cell r="B39" t="str">
            <v>Chessy</v>
          </cell>
        </row>
        <row r="40">
          <cell r="A40" t="str">
            <v>Disc'Lexiques 2</v>
          </cell>
          <cell r="B40" t="str">
            <v>Chessy</v>
          </cell>
        </row>
        <row r="41">
          <cell r="A41" t="str">
            <v>Disc'KO</v>
          </cell>
          <cell r="B41" t="str">
            <v>Coulommiers</v>
          </cell>
        </row>
        <row r="42">
          <cell r="A42" t="str">
            <v>Discjonctés</v>
          </cell>
          <cell r="B42" t="str">
            <v>Dijon</v>
          </cell>
        </row>
        <row r="43">
          <cell r="A43" t="str">
            <v>Discjonctés 2</v>
          </cell>
          <cell r="B43" t="str">
            <v>Dijon</v>
          </cell>
        </row>
        <row r="44">
          <cell r="A44" t="str">
            <v>Discjonctés 3</v>
          </cell>
          <cell r="B44" t="str">
            <v>Dijon</v>
          </cell>
        </row>
        <row r="45">
          <cell r="A45" t="str">
            <v>Discobols</v>
          </cell>
          <cell r="B45" t="str">
            <v>Nîmes</v>
          </cell>
        </row>
        <row r="46">
          <cell r="A46" t="str">
            <v>Dragon's Alpha</v>
          </cell>
          <cell r="B46" t="str">
            <v>La Roche sur Yon</v>
          </cell>
        </row>
        <row r="47">
          <cell r="A47" t="str">
            <v>Dragon's Delta</v>
          </cell>
          <cell r="B47" t="str">
            <v>La Roche sur Yon</v>
          </cell>
        </row>
        <row r="48">
          <cell r="A48" t="str">
            <v>Eul'Chtimate</v>
          </cell>
          <cell r="B48" t="str">
            <v>Lille</v>
          </cell>
        </row>
        <row r="49">
          <cell r="A49" t="str">
            <v>Everest</v>
          </cell>
          <cell r="B49" t="str">
            <v>Pontarlier</v>
          </cell>
        </row>
        <row r="50">
          <cell r="A50" t="str">
            <v>Everest Régénération</v>
          </cell>
          <cell r="B50" t="str">
            <v>Pontarlier</v>
          </cell>
        </row>
        <row r="51">
          <cell r="A51" t="str">
            <v>Flep Intox</v>
          </cell>
          <cell r="B51" t="str">
            <v>Carrières sous Poissy</v>
          </cell>
        </row>
        <row r="52">
          <cell r="A52" t="str">
            <v>Fly Disc'R</v>
          </cell>
          <cell r="B52" t="str">
            <v>Orléans</v>
          </cell>
        </row>
        <row r="53">
          <cell r="A53" t="str">
            <v>Flying Carpet</v>
          </cell>
          <cell r="B53" t="str">
            <v>Pontarlier</v>
          </cell>
        </row>
        <row r="54">
          <cell r="A54" t="str">
            <v>Freevol</v>
          </cell>
          <cell r="B54" t="str">
            <v>Voujeaucourt</v>
          </cell>
        </row>
        <row r="55">
          <cell r="A55" t="str">
            <v>Freevol 2</v>
          </cell>
          <cell r="B55" t="str">
            <v>Voujeaucourt</v>
          </cell>
        </row>
        <row r="56">
          <cell r="A56" t="str">
            <v>Babyjeaucourt</v>
          </cell>
          <cell r="B56" t="str">
            <v>Voujeaucourt</v>
          </cell>
        </row>
        <row r="57">
          <cell r="A57" t="str">
            <v>Free's by 66</v>
          </cell>
          <cell r="B57" t="str">
            <v>Elne</v>
          </cell>
        </row>
        <row r="58">
          <cell r="A58" t="str">
            <v>Freeze Bee</v>
          </cell>
          <cell r="B58" t="str">
            <v>Chateauroux</v>
          </cell>
        </row>
        <row r="59">
          <cell r="A59" t="str">
            <v>Freezgo</v>
          </cell>
          <cell r="B59" t="str">
            <v>Blois</v>
          </cell>
        </row>
        <row r="60">
          <cell r="A60" t="str">
            <v>Freezgo 2</v>
          </cell>
          <cell r="B60" t="str">
            <v>Blois</v>
          </cell>
        </row>
        <row r="61">
          <cell r="A61" t="str">
            <v>Freezgo Uno</v>
          </cell>
          <cell r="B61" t="str">
            <v>Blois</v>
          </cell>
        </row>
        <row r="62">
          <cell r="A62" t="str">
            <v>Freezgo Cuatro</v>
          </cell>
          <cell r="B62" t="str">
            <v>Blois</v>
          </cell>
        </row>
        <row r="63">
          <cell r="A63" t="str">
            <v>Freezgo MUD</v>
          </cell>
          <cell r="B63" t="str">
            <v>Blois</v>
          </cell>
        </row>
        <row r="64">
          <cell r="A64" t="str">
            <v>Fris'Bigorre</v>
          </cell>
          <cell r="B64" t="str">
            <v>Tarbes</v>
          </cell>
        </row>
        <row r="65">
          <cell r="A65" t="str">
            <v>Frisbeurs</v>
          </cell>
          <cell r="B65" t="str">
            <v>Nantes</v>
          </cell>
        </row>
        <row r="66">
          <cell r="A66" t="str">
            <v>Frisbeurs 2</v>
          </cell>
          <cell r="B66" t="str">
            <v>Nantes</v>
          </cell>
        </row>
        <row r="67">
          <cell r="A67" t="str">
            <v>Frisbeurs 3</v>
          </cell>
          <cell r="B67" t="str">
            <v>Nantes</v>
          </cell>
        </row>
        <row r="68">
          <cell r="A68" t="str">
            <v>Friz'Bisontins</v>
          </cell>
          <cell r="B68" t="str">
            <v>Besançon</v>
          </cell>
        </row>
        <row r="69">
          <cell r="A69" t="str">
            <v>Friz'Bisontins 2</v>
          </cell>
          <cell r="B69" t="str">
            <v>Besançon</v>
          </cell>
        </row>
        <row r="70">
          <cell r="A70" t="str">
            <v>Frog Disc Section</v>
          </cell>
          <cell r="B70" t="str">
            <v>Evry</v>
          </cell>
        </row>
        <row r="71">
          <cell r="A71" t="str">
            <v>Réservoir Frogs</v>
          </cell>
          <cell r="B71" t="str">
            <v>Evry</v>
          </cell>
        </row>
        <row r="72">
          <cell r="A72" t="str">
            <v>Babysontins</v>
          </cell>
          <cell r="B72" t="str">
            <v>Besançon</v>
          </cell>
        </row>
        <row r="73">
          <cell r="A73" t="str">
            <v>Friselis</v>
          </cell>
          <cell r="B73" t="str">
            <v>Versailles</v>
          </cell>
        </row>
        <row r="74">
          <cell r="A74" t="str">
            <v>Friselis 2</v>
          </cell>
          <cell r="B74" t="str">
            <v>Versailles</v>
          </cell>
        </row>
        <row r="75">
          <cell r="A75" t="str">
            <v>Friselis 3</v>
          </cell>
          <cell r="B75" t="str">
            <v>Versailles</v>
          </cell>
        </row>
        <row r="76">
          <cell r="A76" t="str">
            <v>Friselis 4</v>
          </cell>
          <cell r="B76" t="str">
            <v>Versailles</v>
          </cell>
        </row>
        <row r="77">
          <cell r="A77" t="str">
            <v>Friselis Jr</v>
          </cell>
          <cell r="B77" t="str">
            <v>Versailles</v>
          </cell>
        </row>
        <row r="78">
          <cell r="A78" t="str">
            <v>Friz'Toi</v>
          </cell>
          <cell r="B78" t="str">
            <v>Luzarches</v>
          </cell>
        </row>
        <row r="79">
          <cell r="A79" t="str">
            <v>Friz'Toi 2</v>
          </cell>
          <cell r="B79" t="str">
            <v>Luzarches</v>
          </cell>
        </row>
        <row r="80">
          <cell r="A80" t="str">
            <v>FU</v>
          </cell>
          <cell r="B80" t="str">
            <v>Luzarches</v>
          </cell>
        </row>
        <row r="81">
          <cell r="A81" t="str">
            <v>FU 2</v>
          </cell>
          <cell r="B81" t="str">
            <v>Luzarches</v>
          </cell>
        </row>
        <row r="82">
          <cell r="A82" t="str">
            <v>FU 3</v>
          </cell>
          <cell r="B82" t="str">
            <v>Luzarches</v>
          </cell>
        </row>
        <row r="83">
          <cell r="A83" t="str">
            <v>FU13</v>
          </cell>
          <cell r="B83" t="str">
            <v>Luzarches</v>
          </cell>
        </row>
        <row r="84">
          <cell r="A84" t="str">
            <v>FU15</v>
          </cell>
          <cell r="B84" t="str">
            <v>Luzarches</v>
          </cell>
        </row>
        <row r="85">
          <cell r="A85" t="str">
            <v>FU17</v>
          </cell>
          <cell r="B85" t="str">
            <v>Luzarches</v>
          </cell>
        </row>
        <row r="86">
          <cell r="A86" t="str">
            <v>FU157</v>
          </cell>
          <cell r="B86" t="str">
            <v>Luzarches</v>
          </cell>
        </row>
        <row r="87">
          <cell r="A87" t="str">
            <v>FU20</v>
          </cell>
          <cell r="B87" t="str">
            <v>Luzarches</v>
          </cell>
        </row>
        <row r="88">
          <cell r="A88" t="str">
            <v>Fumble</v>
          </cell>
          <cell r="B88" t="str">
            <v>Veauche</v>
          </cell>
        </row>
        <row r="89">
          <cell r="A89" t="str">
            <v>Fumble One</v>
          </cell>
          <cell r="B89" t="str">
            <v>Veauche</v>
          </cell>
        </row>
        <row r="90">
          <cell r="A90" t="str">
            <v>Fumble Two</v>
          </cell>
          <cell r="B90" t="str">
            <v>Veauche</v>
          </cell>
        </row>
        <row r="91">
          <cell r="A91" t="str">
            <v>Crumble</v>
          </cell>
          <cell r="B91" t="str">
            <v>Veauche</v>
          </cell>
        </row>
        <row r="92">
          <cell r="A92" t="str">
            <v>GROUF</v>
          </cell>
          <cell r="B92" t="str">
            <v>Roanne</v>
          </cell>
        </row>
        <row r="93">
          <cell r="A93" t="str">
            <v>GROUF 2</v>
          </cell>
          <cell r="B93" t="str">
            <v>Roanne</v>
          </cell>
        </row>
        <row r="94">
          <cell r="A94" t="str">
            <v>Hot</v>
          </cell>
          <cell r="B94" t="str">
            <v>La Celle St Cloud</v>
          </cell>
        </row>
        <row r="95">
          <cell r="A95" t="str">
            <v>Hot 2</v>
          </cell>
          <cell r="B95" t="str">
            <v>La Celle St Cloud</v>
          </cell>
        </row>
        <row r="96">
          <cell r="A96" t="str">
            <v>Rebel'Hot</v>
          </cell>
          <cell r="B96" t="str">
            <v>La Celle St Cloud</v>
          </cell>
        </row>
        <row r="97">
          <cell r="A97" t="str">
            <v>HULC</v>
          </cell>
          <cell r="B97" t="str">
            <v>Les Herbiers</v>
          </cell>
        </row>
        <row r="98">
          <cell r="A98" t="str">
            <v>Hultic</v>
          </cell>
          <cell r="B98" t="str">
            <v>Le Havre</v>
          </cell>
        </row>
        <row r="99">
          <cell r="A99" t="str">
            <v>Izaka</v>
          </cell>
          <cell r="B99" t="str">
            <v>Noisy Le Sec</v>
          </cell>
        </row>
        <row r="100">
          <cell r="A100" t="str">
            <v>Iznogood</v>
          </cell>
          <cell r="B100" t="str">
            <v>Noisy Le Sec</v>
          </cell>
        </row>
        <row r="101">
          <cell r="A101" t="str">
            <v>Jack'Suns</v>
          </cell>
          <cell r="B101" t="str">
            <v>Fontenay Le Comte</v>
          </cell>
        </row>
        <row r="102">
          <cell r="A102" t="str">
            <v>Jack'Suns 2</v>
          </cell>
          <cell r="B102" t="str">
            <v>Fontenay Le Comte</v>
          </cell>
        </row>
        <row r="103">
          <cell r="A103" t="str">
            <v>Jets</v>
          </cell>
          <cell r="B103" t="str">
            <v>Challans</v>
          </cell>
        </row>
        <row r="104">
          <cell r="A104" t="str">
            <v>Jets 2</v>
          </cell>
          <cell r="B104" t="str">
            <v>Challans</v>
          </cell>
        </row>
        <row r="105">
          <cell r="A105" t="str">
            <v>KLB</v>
          </cell>
          <cell r="B105" t="str">
            <v>Pertuis</v>
          </cell>
        </row>
        <row r="106">
          <cell r="A106" t="str">
            <v>La Bourrasque</v>
          </cell>
          <cell r="B106" t="str">
            <v>Créhange</v>
          </cell>
        </row>
        <row r="107">
          <cell r="A107" t="str">
            <v>Le NUC</v>
          </cell>
          <cell r="B107" t="str">
            <v>Niort</v>
          </cell>
        </row>
        <row r="108">
          <cell r="A108" t="str">
            <v>Les Allumates</v>
          </cell>
          <cell r="B108" t="str">
            <v>Evreux</v>
          </cell>
        </row>
        <row r="109">
          <cell r="A109" t="str">
            <v>Les Allumates 2</v>
          </cell>
          <cell r="B109" t="str">
            <v>Evreux</v>
          </cell>
        </row>
        <row r="110">
          <cell r="A110" t="str">
            <v>Pirates</v>
          </cell>
          <cell r="B110" t="str">
            <v>Laval</v>
          </cell>
        </row>
        <row r="111">
          <cell r="A111" t="str">
            <v>Piratoxic</v>
          </cell>
          <cell r="B111" t="str">
            <v>Laval</v>
          </cell>
        </row>
        <row r="112">
          <cell r="A112" t="str">
            <v>Piratomic</v>
          </cell>
          <cell r="B112" t="str">
            <v>Laval</v>
          </cell>
        </row>
        <row r="113">
          <cell r="A113" t="str">
            <v>Lez Héraultimates</v>
          </cell>
          <cell r="B113" t="str">
            <v>Montpellier</v>
          </cell>
        </row>
        <row r="114">
          <cell r="A114" t="str">
            <v>Les Marsiens</v>
          </cell>
          <cell r="B114" t="str">
            <v>Marseille</v>
          </cell>
        </row>
        <row r="115">
          <cell r="A115" t="str">
            <v>Saône-X</v>
          </cell>
          <cell r="B115" t="str">
            <v>Mâcon</v>
          </cell>
        </row>
        <row r="116">
          <cell r="A116" t="str">
            <v>Saône-X²</v>
          </cell>
          <cell r="B116" t="str">
            <v>Mâcon</v>
          </cell>
        </row>
        <row r="117">
          <cell r="A117" t="str">
            <v>Magic Disc</v>
          </cell>
          <cell r="B117" t="str">
            <v>Angers</v>
          </cell>
        </row>
        <row r="118">
          <cell r="A118" t="str">
            <v>Magic Disc 2</v>
          </cell>
          <cell r="B118" t="str">
            <v>Angers</v>
          </cell>
        </row>
        <row r="119">
          <cell r="A119" t="str">
            <v>Manchots</v>
          </cell>
          <cell r="B119" t="str">
            <v>Le Mans</v>
          </cell>
        </row>
        <row r="120">
          <cell r="A120" t="str">
            <v>VacheManchots</v>
          </cell>
          <cell r="B120" t="str">
            <v>Le Mans</v>
          </cell>
        </row>
        <row r="121">
          <cell r="A121" t="str">
            <v>CarréManchots</v>
          </cell>
          <cell r="B121" t="str">
            <v>Le Mans</v>
          </cell>
        </row>
        <row r="122">
          <cell r="A122" t="str">
            <v>DiveManchots</v>
          </cell>
          <cell r="B122" t="str">
            <v>Le Mans</v>
          </cell>
        </row>
        <row r="123">
          <cell r="A123" t="str">
            <v>CatchManchots</v>
          </cell>
          <cell r="B123" t="str">
            <v>Le Mans</v>
          </cell>
        </row>
        <row r="124">
          <cell r="A124" t="str">
            <v>Mr Friz</v>
          </cell>
          <cell r="B124" t="str">
            <v>Rennes</v>
          </cell>
        </row>
        <row r="125">
          <cell r="A125" t="str">
            <v>Mr Friz 2</v>
          </cell>
          <cell r="B125" t="str">
            <v>Rennes</v>
          </cell>
        </row>
        <row r="126">
          <cell r="A126" t="str">
            <v>Fresh Fever</v>
          </cell>
          <cell r="B126" t="str">
            <v>Rennes</v>
          </cell>
        </row>
        <row r="127">
          <cell r="A127" t="str">
            <v>Funky Fools</v>
          </cell>
          <cell r="B127" t="str">
            <v>Rennes</v>
          </cell>
        </row>
        <row r="128">
          <cell r="A128" t="str">
            <v>Furious Five</v>
          </cell>
          <cell r="B128" t="str">
            <v>Rennes</v>
          </cell>
        </row>
        <row r="129">
          <cell r="A129" t="str">
            <v>Mistix</v>
          </cell>
          <cell r="B129" t="str">
            <v>Lyon</v>
          </cell>
        </row>
        <row r="130">
          <cell r="A130" t="str">
            <v>Monkey</v>
          </cell>
          <cell r="B130" t="str">
            <v>Grenoble</v>
          </cell>
        </row>
        <row r="131">
          <cell r="A131" t="str">
            <v>Monkey 2</v>
          </cell>
          <cell r="B131" t="str">
            <v>Grenoble</v>
          </cell>
        </row>
        <row r="132">
          <cell r="A132" t="str">
            <v>Mosquidos</v>
          </cell>
          <cell r="B132" t="str">
            <v>Lyon</v>
          </cell>
        </row>
        <row r="133">
          <cell r="A133" t="str">
            <v>Moustix</v>
          </cell>
          <cell r="B133" t="str">
            <v>Lyon</v>
          </cell>
        </row>
        <row r="134">
          <cell r="A134" t="str">
            <v>Moustix 3</v>
          </cell>
          <cell r="B134" t="str">
            <v>Lyon</v>
          </cell>
        </row>
        <row r="135">
          <cell r="A135" t="str">
            <v>La Trix</v>
          </cell>
          <cell r="B135" t="str">
            <v>Lyon</v>
          </cell>
        </row>
        <row r="136">
          <cell r="A136" t="str">
            <v>Les Fantastix Four</v>
          </cell>
          <cell r="B136" t="str">
            <v>Lyon</v>
          </cell>
        </row>
        <row r="137">
          <cell r="A137" t="str">
            <v>MUD</v>
          </cell>
          <cell r="B137" t="str">
            <v>Mer</v>
          </cell>
        </row>
        <row r="138">
          <cell r="A138" t="str">
            <v>MUD 2</v>
          </cell>
          <cell r="B138" t="str">
            <v>Mer</v>
          </cell>
        </row>
        <row r="139">
          <cell r="A139" t="str">
            <v>MUD 3</v>
          </cell>
          <cell r="B139" t="str">
            <v>Mer</v>
          </cell>
        </row>
        <row r="140">
          <cell r="A140" t="str">
            <v>éfé2MUD</v>
          </cell>
          <cell r="B140" t="str">
            <v>Mer</v>
          </cell>
        </row>
        <row r="141">
          <cell r="A141" t="str">
            <v>Mer MUD'as</v>
          </cell>
          <cell r="B141" t="str">
            <v>Mer</v>
          </cell>
        </row>
        <row r="142">
          <cell r="A142" t="str">
            <v>MUD'este</v>
          </cell>
          <cell r="B142" t="str">
            <v>Mer</v>
          </cell>
        </row>
        <row r="143">
          <cell r="A143" t="str">
            <v>Pata MUD'lé</v>
          </cell>
          <cell r="B143" t="str">
            <v>Mer</v>
          </cell>
        </row>
        <row r="144">
          <cell r="A144" t="str">
            <v>Top MUD'aile</v>
          </cell>
          <cell r="B144" t="str">
            <v>Mer</v>
          </cell>
        </row>
        <row r="145">
          <cell r="A145" t="str">
            <v>MUD in Mer</v>
          </cell>
          <cell r="B145" t="str">
            <v>Mer</v>
          </cell>
        </row>
        <row r="146">
          <cell r="A146" t="str">
            <v>MUD'el Réduits</v>
          </cell>
          <cell r="B146" t="str">
            <v>Mer</v>
          </cell>
        </row>
        <row r="147">
          <cell r="A147" t="str">
            <v>Normandix</v>
          </cell>
          <cell r="B147" t="str">
            <v>Caen</v>
          </cell>
        </row>
        <row r="148">
          <cell r="A148" t="str">
            <v>Ultimate Flying Cows</v>
          </cell>
          <cell r="B148" t="str">
            <v>Caen</v>
          </cell>
        </row>
        <row r="149">
          <cell r="A149" t="str">
            <v>NUC two</v>
          </cell>
          <cell r="B149" t="str">
            <v>Niort</v>
          </cell>
        </row>
        <row r="150">
          <cell r="A150" t="str">
            <v>OUF</v>
          </cell>
          <cell r="B150" t="str">
            <v>Joué-Lès-Tours</v>
          </cell>
        </row>
        <row r="151">
          <cell r="A151" t="str">
            <v>OUF 2</v>
          </cell>
          <cell r="B151" t="str">
            <v>Joué-Lès-Tours</v>
          </cell>
        </row>
        <row r="152">
          <cell r="A152" t="str">
            <v>OUF 3</v>
          </cell>
          <cell r="B152" t="str">
            <v>Joué-Lès-Tours</v>
          </cell>
        </row>
        <row r="153">
          <cell r="A153" t="str">
            <v>Phoenix</v>
          </cell>
          <cell r="B153" t="str">
            <v>Montrouge</v>
          </cell>
        </row>
        <row r="154">
          <cell r="A154" t="str">
            <v>Phoenix Piou</v>
          </cell>
          <cell r="B154" t="str">
            <v>Montrouge</v>
          </cell>
        </row>
        <row r="155">
          <cell r="A155" t="str">
            <v>Phoenix 3</v>
          </cell>
          <cell r="B155" t="str">
            <v>Montrouge</v>
          </cell>
        </row>
        <row r="156">
          <cell r="A156" t="str">
            <v>PhoeniX'Trem</v>
          </cell>
          <cell r="B156" t="str">
            <v>Montrouge</v>
          </cell>
        </row>
        <row r="157">
          <cell r="A157" t="str">
            <v>Power Rouengers</v>
          </cell>
          <cell r="B157" t="str">
            <v>Rouen</v>
          </cell>
        </row>
        <row r="158">
          <cell r="A158" t="str">
            <v>power Rouengers 2</v>
          </cell>
          <cell r="B158" t="str">
            <v>Rouen</v>
          </cell>
        </row>
        <row r="159">
          <cell r="A159" t="str">
            <v>Psykies</v>
          </cell>
          <cell r="B159" t="str">
            <v>Nancy</v>
          </cell>
        </row>
        <row r="160">
          <cell r="A160" t="str">
            <v>Psyko</v>
          </cell>
          <cell r="B160" t="str">
            <v>Nancy</v>
          </cell>
        </row>
        <row r="161">
          <cell r="A161" t="str">
            <v>Psykopass</v>
          </cell>
          <cell r="B161" t="str">
            <v>Nancy</v>
          </cell>
        </row>
        <row r="162">
          <cell r="A162" t="str">
            <v>Raging Bananas</v>
          </cell>
          <cell r="B162" t="str">
            <v>Nantes</v>
          </cell>
        </row>
        <row r="163">
          <cell r="A163" t="str">
            <v>Raging Bananas 2</v>
          </cell>
          <cell r="B163" t="str">
            <v>Nantes</v>
          </cell>
        </row>
        <row r="164">
          <cell r="A164" t="str">
            <v>Raging Bananas 3</v>
          </cell>
          <cell r="B164" t="str">
            <v>Nantes</v>
          </cell>
        </row>
        <row r="165">
          <cell r="A165" t="str">
            <v>Raging Bananas 4</v>
          </cell>
          <cell r="B165" t="str">
            <v>Nantes</v>
          </cell>
        </row>
        <row r="166">
          <cell r="A166" t="str">
            <v>Raid'Apte</v>
          </cell>
          <cell r="B166" t="str">
            <v>Les Brouzils</v>
          </cell>
        </row>
        <row r="167">
          <cell r="A167" t="str">
            <v>Révo CS</v>
          </cell>
          <cell r="B167" t="str">
            <v>Paris</v>
          </cell>
        </row>
        <row r="168">
          <cell r="A168" t="str">
            <v>CS-Révolution'Air 2</v>
          </cell>
          <cell r="B168" t="str">
            <v>Paris</v>
          </cell>
        </row>
        <row r="169">
          <cell r="A169" t="str">
            <v>Révolution'Air</v>
          </cell>
          <cell r="B169" t="str">
            <v>Paris</v>
          </cell>
        </row>
        <row r="170">
          <cell r="A170" t="str">
            <v>Révolution'Air 2</v>
          </cell>
          <cell r="B170" t="str">
            <v>Paris</v>
          </cell>
        </row>
        <row r="171">
          <cell r="A171" t="str">
            <v>Révolution'Air 3</v>
          </cell>
          <cell r="B171" t="str">
            <v>Paris</v>
          </cell>
        </row>
        <row r="172">
          <cell r="A172" t="str">
            <v>RFO</v>
          </cell>
          <cell r="B172" t="str">
            <v>Ile de Ré</v>
          </cell>
        </row>
        <row r="173">
          <cell r="A173" t="str">
            <v>RFO 2</v>
          </cell>
          <cell r="B173" t="str">
            <v>Ile de Ré</v>
          </cell>
        </row>
        <row r="174">
          <cell r="A174" t="str">
            <v>RFO 3</v>
          </cell>
          <cell r="B174" t="str">
            <v>Ile de Ré</v>
          </cell>
        </row>
        <row r="175">
          <cell r="A175" t="str">
            <v>RFO Pirates</v>
          </cell>
          <cell r="B175" t="str">
            <v>Ile de Ré</v>
          </cell>
        </row>
        <row r="176">
          <cell r="A176" t="str">
            <v>RFO Sultan</v>
          </cell>
          <cell r="B176" t="str">
            <v>Ile de Ré</v>
          </cell>
        </row>
        <row r="177">
          <cell r="A177" t="str">
            <v>RFO Harmattan</v>
          </cell>
          <cell r="B177" t="str">
            <v>Ile de Ré</v>
          </cell>
        </row>
        <row r="178">
          <cell r="A178" t="str">
            <v>Rising SUN</v>
          </cell>
          <cell r="B178" t="str">
            <v>Créteil</v>
          </cell>
        </row>
        <row r="179">
          <cell r="A179" t="str">
            <v>Sesquidistus</v>
          </cell>
          <cell r="B179" t="str">
            <v>Strasbourg</v>
          </cell>
        </row>
        <row r="180">
          <cell r="A180" t="str">
            <v>Sesquidistus 2</v>
          </cell>
          <cell r="B180" t="str">
            <v>Strasbourg</v>
          </cell>
        </row>
        <row r="181">
          <cell r="A181" t="str">
            <v>Sesquidistus 3</v>
          </cell>
          <cell r="B181" t="str">
            <v>Strasbourg</v>
          </cell>
        </row>
        <row r="182">
          <cell r="A182" t="str">
            <v>Sesquidistus 4</v>
          </cell>
          <cell r="B182" t="str">
            <v>Strasbourg</v>
          </cell>
        </row>
        <row r="183">
          <cell r="A183" t="str">
            <v>Sista Vibes</v>
          </cell>
          <cell r="B183" t="str">
            <v>Cergy</v>
          </cell>
        </row>
        <row r="184">
          <cell r="A184" t="str">
            <v>Sun</v>
          </cell>
          <cell r="B184" t="str">
            <v>Créteil</v>
          </cell>
        </row>
        <row r="185">
          <cell r="A185" t="str">
            <v>Little Team Sun Shine</v>
          </cell>
          <cell r="B185" t="str">
            <v>Créteil</v>
          </cell>
        </row>
        <row r="186">
          <cell r="A186" t="str">
            <v>Synoptic</v>
          </cell>
          <cell r="B186" t="str">
            <v>St Germain en Laye</v>
          </cell>
        </row>
        <row r="187">
          <cell r="A187" t="str">
            <v>T-R'Aix</v>
          </cell>
          <cell r="B187" t="str">
            <v>Aix-en-Provence</v>
          </cell>
        </row>
        <row r="188">
          <cell r="A188" t="str">
            <v>Diplo2Cuts</v>
          </cell>
          <cell r="B188" t="str">
            <v>Aix-en-Provence</v>
          </cell>
        </row>
        <row r="189">
          <cell r="A189" t="str">
            <v>T-R'Aix 3</v>
          </cell>
          <cell r="B189" t="str">
            <v>Aix-en-Provence</v>
          </cell>
        </row>
        <row r="190">
          <cell r="A190" t="str">
            <v>Tchac</v>
          </cell>
          <cell r="B190" t="str">
            <v>Pornichet</v>
          </cell>
        </row>
        <row r="191">
          <cell r="A191" t="str">
            <v>Tchac 2</v>
          </cell>
          <cell r="B191" t="str">
            <v>Pornichet</v>
          </cell>
        </row>
        <row r="192">
          <cell r="A192" t="str">
            <v>Tchac 3</v>
          </cell>
          <cell r="B192" t="str">
            <v>Pornichet</v>
          </cell>
        </row>
        <row r="193">
          <cell r="A193" t="str">
            <v>Tchac 4</v>
          </cell>
          <cell r="B193" t="str">
            <v>Pornichet</v>
          </cell>
        </row>
        <row r="194">
          <cell r="A194" t="str">
            <v>Tchac 5</v>
          </cell>
          <cell r="B194" t="str">
            <v>Pornichet</v>
          </cell>
        </row>
        <row r="195">
          <cell r="A195" t="str">
            <v>Tchac Attak</v>
          </cell>
          <cell r="B195" t="str">
            <v>Pornichet</v>
          </cell>
        </row>
        <row r="196">
          <cell r="A196" t="str">
            <v>Tchacados</v>
          </cell>
          <cell r="B196" t="str">
            <v>Pornichet</v>
          </cell>
        </row>
        <row r="197">
          <cell r="A197" t="str">
            <v>Black Tchac</v>
          </cell>
          <cell r="B197" t="str">
            <v>Pornichet</v>
          </cell>
        </row>
        <row r="198">
          <cell r="A198" t="str">
            <v>Green Tchac</v>
          </cell>
          <cell r="B198" t="str">
            <v>Pornichet</v>
          </cell>
        </row>
        <row r="199">
          <cell r="A199" t="str">
            <v>Tchac Olacho</v>
          </cell>
          <cell r="B199" t="str">
            <v>Pornichet</v>
          </cell>
        </row>
        <row r="200">
          <cell r="A200" t="str">
            <v>Tchac Norris</v>
          </cell>
          <cell r="B200" t="str">
            <v>Pornichet</v>
          </cell>
        </row>
        <row r="201">
          <cell r="A201" t="str">
            <v>Tchakie Chan</v>
          </cell>
          <cell r="B201" t="str">
            <v>Pornichet</v>
          </cell>
        </row>
        <row r="202">
          <cell r="A202" t="str">
            <v>Tchacadit</v>
          </cell>
          <cell r="B202" t="str">
            <v>Pornichet</v>
          </cell>
        </row>
        <row r="203">
          <cell r="A203" t="str">
            <v>Raging Bananas</v>
          </cell>
          <cell r="B203" t="str">
            <v>Nantes</v>
          </cell>
        </row>
        <row r="204">
          <cell r="A204" t="str">
            <v>Raging Bananas 2</v>
          </cell>
          <cell r="B204" t="str">
            <v>Nantes</v>
          </cell>
        </row>
        <row r="205">
          <cell r="A205" t="str">
            <v>Raging Bananas 3</v>
          </cell>
          <cell r="B205" t="str">
            <v>Nantes</v>
          </cell>
        </row>
        <row r="206">
          <cell r="A206" t="str">
            <v>Tourne-Disc</v>
          </cell>
          <cell r="B206" t="str">
            <v>Clermont-Ferrand</v>
          </cell>
        </row>
        <row r="207">
          <cell r="A207" t="str">
            <v>Tourne-Disc 2</v>
          </cell>
          <cell r="B207" t="str">
            <v>Clermont-Ferrand</v>
          </cell>
        </row>
        <row r="208">
          <cell r="A208" t="str">
            <v>Dourne-Tisc</v>
          </cell>
          <cell r="B208" t="str">
            <v>Clermont-Ferrand</v>
          </cell>
        </row>
        <row r="209">
          <cell r="A209" t="str">
            <v>Tsunami</v>
          </cell>
          <cell r="B209" t="str">
            <v>Nemours</v>
          </cell>
        </row>
        <row r="210">
          <cell r="A210" t="str">
            <v>Tsunami 2</v>
          </cell>
          <cell r="B210" t="str">
            <v>Nemours</v>
          </cell>
        </row>
        <row r="211">
          <cell r="A211" t="str">
            <v>Tsunami 3</v>
          </cell>
          <cell r="B211" t="str">
            <v>Nemours</v>
          </cell>
        </row>
        <row r="212">
          <cell r="A212" t="str">
            <v>Tsunaminis</v>
          </cell>
          <cell r="B212" t="str">
            <v>Nemours</v>
          </cell>
        </row>
        <row r="213">
          <cell r="A213" t="str">
            <v>Tsunaminis 2</v>
          </cell>
          <cell r="B213" t="str">
            <v>Nemours</v>
          </cell>
        </row>
        <row r="214">
          <cell r="A214" t="str">
            <v>Tsunaminimoys</v>
          </cell>
          <cell r="B214" t="str">
            <v>Nemours</v>
          </cell>
        </row>
        <row r="215">
          <cell r="A215" t="str">
            <v>TsunaFly</v>
          </cell>
          <cell r="B215" t="str">
            <v>Nemours</v>
          </cell>
        </row>
        <row r="216">
          <cell r="A216" t="str">
            <v>UFO</v>
          </cell>
          <cell r="B216" t="str">
            <v>Arradon</v>
          </cell>
        </row>
        <row r="217">
          <cell r="A217" t="str">
            <v>UPA</v>
          </cell>
          <cell r="B217" t="str">
            <v>Saint Prix</v>
          </cell>
        </row>
        <row r="218">
          <cell r="A218" t="str">
            <v>Ultimat'Pongo</v>
          </cell>
          <cell r="B218" t="str">
            <v>Carpentras</v>
          </cell>
        </row>
        <row r="219">
          <cell r="A219" t="str">
            <v>Pongo</v>
          </cell>
          <cell r="B219" t="str">
            <v>Carpentras</v>
          </cell>
        </row>
        <row r="220">
          <cell r="A220" t="str">
            <v>Pongogo</v>
          </cell>
          <cell r="B220" t="str">
            <v>Carpentras</v>
          </cell>
        </row>
        <row r="221">
          <cell r="A221" t="str">
            <v>Ultimate Troopers</v>
          </cell>
          <cell r="B221" t="str">
            <v>Liverdun</v>
          </cell>
        </row>
        <row r="222">
          <cell r="A222" t="str">
            <v>Brave Troopers</v>
          </cell>
          <cell r="B222" t="str">
            <v>Liverdun</v>
          </cell>
        </row>
        <row r="223">
          <cell r="A223" t="str">
            <v>Heart Troopers</v>
          </cell>
          <cell r="B223" t="str">
            <v>Liverdun</v>
          </cell>
        </row>
        <row r="224">
          <cell r="A224" t="str">
            <v>Ultimate Vibration</v>
          </cell>
          <cell r="B224" t="str">
            <v>Cergy</v>
          </cell>
        </row>
        <row r="225">
          <cell r="A225" t="str">
            <v>Ultimate Vibration 2</v>
          </cell>
          <cell r="B225" t="str">
            <v>Cergy</v>
          </cell>
        </row>
        <row r="226">
          <cell r="A226" t="str">
            <v>Ultimetz</v>
          </cell>
          <cell r="B226" t="str">
            <v>Metz</v>
          </cell>
        </row>
        <row r="227">
          <cell r="A227" t="str">
            <v>Vazylence</v>
          </cell>
          <cell r="B227" t="str">
            <v>Valence</v>
          </cell>
        </row>
        <row r="228">
          <cell r="A228" t="str">
            <v>Vibes Too</v>
          </cell>
          <cell r="B228" t="str">
            <v>Cergy</v>
          </cell>
        </row>
        <row r="229">
          <cell r="A229" t="str">
            <v>UV Ki School</v>
          </cell>
          <cell r="B229" t="str">
            <v>Cergy</v>
          </cell>
        </row>
        <row r="230">
          <cell r="A230" t="str">
            <v>Vibration School</v>
          </cell>
          <cell r="B230" t="str">
            <v>Cergy</v>
          </cell>
        </row>
        <row r="231">
          <cell r="A231" t="str">
            <v>Ultimotte de Vesoul</v>
          </cell>
          <cell r="B231" t="str">
            <v>Vesoul</v>
          </cell>
        </row>
        <row r="232">
          <cell r="A232" t="str">
            <v>Ultimotte</v>
          </cell>
          <cell r="B232" t="str">
            <v>Vesoul</v>
          </cell>
        </row>
        <row r="233">
          <cell r="A233" t="str">
            <v>Youltima</v>
          </cell>
          <cell r="B233" t="str">
            <v>Rodez</v>
          </cell>
        </row>
        <row r="234">
          <cell r="A234" t="str">
            <v>ZéroGêne</v>
          </cell>
          <cell r="B234" t="str">
            <v>Plaisir</v>
          </cell>
        </row>
        <row r="235">
          <cell r="A235" t="str">
            <v>ZéroGêne 2</v>
          </cell>
          <cell r="B235" t="str">
            <v>Plaisir</v>
          </cell>
        </row>
        <row r="236">
          <cell r="A236" t="str">
            <v>ZéroGêne 3</v>
          </cell>
          <cell r="B236" t="str">
            <v>Plaisir</v>
          </cell>
        </row>
        <row r="237">
          <cell r="A237" t="str">
            <v>Ziggles</v>
          </cell>
          <cell r="B237" t="str">
            <v>Nice</v>
          </cell>
        </row>
        <row r="238">
          <cell r="A238" t="str">
            <v>Ziggles 2</v>
          </cell>
          <cell r="B238" t="str">
            <v>Nice</v>
          </cell>
        </row>
        <row r="239">
          <cell r="A239" t="str">
            <v>Ziggles 3</v>
          </cell>
          <cell r="B239" t="str">
            <v>Nice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abiocloclo@yahoo.fr%20/%2006.77.96.02.20" TargetMode="External"/><Relationship Id="rId1" Type="http://schemas.openxmlformats.org/officeDocument/2006/relationships/hyperlink" Target="mailto:fabiocloclo@yahoo.fr%20/%2006.77.96.02.20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fabiocloclo@yahoo.fr%20/%2006.77.96.02.20" TargetMode="External"/><Relationship Id="rId1" Type="http://schemas.openxmlformats.org/officeDocument/2006/relationships/hyperlink" Target="mailto:fabiocloclo@yahoo.fr%20/%2006.77.96.02.20" TargetMode="Externa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fabiocloclo@yahoo.fr%20/%2006.77.96.02.20" TargetMode="External"/><Relationship Id="rId1" Type="http://schemas.openxmlformats.org/officeDocument/2006/relationships/hyperlink" Target="mailto:fabiocloclo@yahoo.fr%20/%2006.77.96.02.20" TargetMode="External"/><Relationship Id="rId4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39"/>
  <sheetViews>
    <sheetView workbookViewId="0">
      <selection activeCell="D31" sqref="D31"/>
    </sheetView>
  </sheetViews>
  <sheetFormatPr baseColWidth="10" defaultColWidth="11.44140625" defaultRowHeight="13.2"/>
  <cols>
    <col min="1" max="1" width="19" style="13" bestFit="1" customWidth="1"/>
    <col min="2" max="2" width="23.109375" style="2" bestFit="1" customWidth="1"/>
    <col min="3" max="16384" width="11.44140625" style="1"/>
  </cols>
  <sheetData>
    <row r="1" spans="1:2">
      <c r="A1" s="11" t="s">
        <v>78</v>
      </c>
      <c r="B1" s="4" t="s">
        <v>79</v>
      </c>
    </row>
    <row r="2" spans="1:2">
      <c r="A2" s="12" t="s">
        <v>53</v>
      </c>
      <c r="B2" s="3" t="s">
        <v>93</v>
      </c>
    </row>
    <row r="3" spans="1:2">
      <c r="A3" s="12" t="s">
        <v>98</v>
      </c>
      <c r="B3" s="3" t="s">
        <v>93</v>
      </c>
    </row>
    <row r="4" spans="1:2">
      <c r="A4" s="12" t="s">
        <v>50</v>
      </c>
      <c r="B4" s="3" t="s">
        <v>75</v>
      </c>
    </row>
    <row r="5" spans="1:2">
      <c r="A5" s="12" t="s">
        <v>72</v>
      </c>
      <c r="B5" s="3" t="s">
        <v>75</v>
      </c>
    </row>
    <row r="6" spans="1:2">
      <c r="A6" s="12" t="s">
        <v>73</v>
      </c>
      <c r="B6" s="3" t="s">
        <v>75</v>
      </c>
    </row>
    <row r="7" spans="1:2">
      <c r="A7" s="12" t="s">
        <v>332</v>
      </c>
      <c r="B7" s="3" t="s">
        <v>75</v>
      </c>
    </row>
    <row r="8" spans="1:2">
      <c r="A8" s="10" t="s">
        <v>384</v>
      </c>
      <c r="B8" s="3" t="s">
        <v>75</v>
      </c>
    </row>
    <row r="9" spans="1:2">
      <c r="A9" s="12" t="s">
        <v>4</v>
      </c>
      <c r="B9" s="8" t="s">
        <v>265</v>
      </c>
    </row>
    <row r="10" spans="1:2">
      <c r="A10" s="10" t="s">
        <v>353</v>
      </c>
      <c r="B10" s="3" t="s">
        <v>75</v>
      </c>
    </row>
    <row r="11" spans="1:2">
      <c r="A11" s="10" t="s">
        <v>302</v>
      </c>
      <c r="B11" s="8" t="s">
        <v>305</v>
      </c>
    </row>
    <row r="12" spans="1:2">
      <c r="A12" s="10" t="s">
        <v>370</v>
      </c>
      <c r="B12" s="8" t="s">
        <v>349</v>
      </c>
    </row>
    <row r="13" spans="1:2">
      <c r="A13" s="12" t="s">
        <v>145</v>
      </c>
      <c r="B13" s="3" t="s">
        <v>81</v>
      </c>
    </row>
    <row r="14" spans="1:2">
      <c r="A14" s="12" t="s">
        <v>143</v>
      </c>
      <c r="B14" s="3" t="s">
        <v>81</v>
      </c>
    </row>
    <row r="15" spans="1:2">
      <c r="A15" s="12" t="s">
        <v>144</v>
      </c>
      <c r="B15" s="3" t="s">
        <v>81</v>
      </c>
    </row>
    <row r="16" spans="1:2">
      <c r="A16" s="10" t="s">
        <v>187</v>
      </c>
      <c r="B16" s="3" t="s">
        <v>81</v>
      </c>
    </row>
    <row r="17" spans="1:2">
      <c r="A17" s="12" t="s">
        <v>107</v>
      </c>
      <c r="B17" s="15" t="s">
        <v>388</v>
      </c>
    </row>
    <row r="18" spans="1:2">
      <c r="A18" s="10" t="s">
        <v>248</v>
      </c>
      <c r="B18" s="3" t="s">
        <v>96</v>
      </c>
    </row>
    <row r="19" spans="1:2">
      <c r="A19" s="10" t="s">
        <v>313</v>
      </c>
      <c r="B19" s="3" t="s">
        <v>138</v>
      </c>
    </row>
    <row r="20" spans="1:2">
      <c r="A20" s="10" t="s">
        <v>314</v>
      </c>
      <c r="B20" s="8" t="s">
        <v>138</v>
      </c>
    </row>
    <row r="21" spans="1:2">
      <c r="A21" s="10" t="s">
        <v>311</v>
      </c>
      <c r="B21" s="3" t="s">
        <v>139</v>
      </c>
    </row>
    <row r="22" spans="1:2">
      <c r="A22" s="10" t="s">
        <v>218</v>
      </c>
      <c r="B22" s="8" t="s">
        <v>293</v>
      </c>
    </row>
    <row r="23" spans="1:2">
      <c r="A23" s="10" t="s">
        <v>320</v>
      </c>
      <c r="B23" s="8" t="s">
        <v>293</v>
      </c>
    </row>
    <row r="24" spans="1:2">
      <c r="A24" s="12" t="s">
        <v>18</v>
      </c>
      <c r="B24" s="8" t="s">
        <v>215</v>
      </c>
    </row>
    <row r="25" spans="1:2">
      <c r="A25" s="12" t="s">
        <v>54</v>
      </c>
      <c r="B25" s="8" t="s">
        <v>215</v>
      </c>
    </row>
    <row r="26" spans="1:2">
      <c r="A26" s="10" t="s">
        <v>249</v>
      </c>
      <c r="B26" s="8" t="s">
        <v>215</v>
      </c>
    </row>
    <row r="27" spans="1:2">
      <c r="A27" s="10" t="s">
        <v>354</v>
      </c>
      <c r="B27" s="8" t="s">
        <v>355</v>
      </c>
    </row>
    <row r="28" spans="1:2">
      <c r="A28" s="10" t="s">
        <v>222</v>
      </c>
      <c r="B28" s="8" t="s">
        <v>365</v>
      </c>
    </row>
    <row r="29" spans="1:2">
      <c r="A29" s="10" t="s">
        <v>366</v>
      </c>
      <c r="B29" s="8" t="s">
        <v>365</v>
      </c>
    </row>
    <row r="30" spans="1:2">
      <c r="A30" s="10" t="s">
        <v>326</v>
      </c>
      <c r="B30" s="8" t="s">
        <v>329</v>
      </c>
    </row>
    <row r="31" spans="1:2">
      <c r="A31" s="10" t="s">
        <v>362</v>
      </c>
      <c r="B31" s="8" t="s">
        <v>329</v>
      </c>
    </row>
    <row r="32" spans="1:2">
      <c r="A32" s="10" t="s">
        <v>363</v>
      </c>
      <c r="B32" s="8" t="s">
        <v>329</v>
      </c>
    </row>
    <row r="33" spans="1:2">
      <c r="A33" s="10" t="s">
        <v>346</v>
      </c>
      <c r="B33" s="8" t="s">
        <v>349</v>
      </c>
    </row>
    <row r="34" spans="1:2">
      <c r="A34" s="10" t="s">
        <v>217</v>
      </c>
      <c r="B34" s="8" t="s">
        <v>224</v>
      </c>
    </row>
    <row r="35" spans="1:2">
      <c r="A35" s="10" t="s">
        <v>321</v>
      </c>
      <c r="B35" s="8" t="s">
        <v>224</v>
      </c>
    </row>
    <row r="36" spans="1:2">
      <c r="A36" s="10" t="s">
        <v>369</v>
      </c>
      <c r="B36" s="8" t="s">
        <v>224</v>
      </c>
    </row>
    <row r="37" spans="1:2">
      <c r="A37" s="10" t="s">
        <v>48</v>
      </c>
      <c r="B37" s="8" t="s">
        <v>263</v>
      </c>
    </row>
    <row r="38" spans="1:2">
      <c r="A38" s="12" t="s">
        <v>128</v>
      </c>
      <c r="B38" s="8" t="s">
        <v>263</v>
      </c>
    </row>
    <row r="39" spans="1:2">
      <c r="A39" s="10" t="s">
        <v>227</v>
      </c>
      <c r="B39" s="8" t="s">
        <v>266</v>
      </c>
    </row>
    <row r="40" spans="1:2">
      <c r="A40" s="10" t="s">
        <v>359</v>
      </c>
      <c r="B40" s="8" t="s">
        <v>164</v>
      </c>
    </row>
    <row r="41" spans="1:2">
      <c r="A41" s="10" t="s">
        <v>360</v>
      </c>
      <c r="B41" s="8" t="s">
        <v>164</v>
      </c>
    </row>
    <row r="42" spans="1:2">
      <c r="A42" s="10" t="s">
        <v>361</v>
      </c>
      <c r="B42" s="8" t="s">
        <v>164</v>
      </c>
    </row>
    <row r="43" spans="1:2">
      <c r="A43" s="10" t="s">
        <v>221</v>
      </c>
      <c r="B43" s="8" t="s">
        <v>194</v>
      </c>
    </row>
    <row r="44" spans="1:2">
      <c r="A44" s="10" t="s">
        <v>416</v>
      </c>
      <c r="B44" s="8" t="s">
        <v>417</v>
      </c>
    </row>
    <row r="45" spans="1:2">
      <c r="A45" s="10" t="s">
        <v>386</v>
      </c>
      <c r="B45" s="8" t="s">
        <v>355</v>
      </c>
    </row>
    <row r="46" spans="1:2">
      <c r="A46" s="12" t="s">
        <v>52</v>
      </c>
      <c r="B46" s="8" t="s">
        <v>355</v>
      </c>
    </row>
    <row r="47" spans="1:2">
      <c r="A47" s="12" t="s">
        <v>100</v>
      </c>
      <c r="B47" s="3" t="s">
        <v>101</v>
      </c>
    </row>
    <row r="48" spans="1:2">
      <c r="A48" s="12" t="s">
        <v>3</v>
      </c>
      <c r="B48" s="3" t="s">
        <v>112</v>
      </c>
    </row>
    <row r="49" spans="1:3">
      <c r="A49" s="10" t="s">
        <v>318</v>
      </c>
      <c r="B49" s="3" t="s">
        <v>112</v>
      </c>
    </row>
    <row r="50" spans="1:3">
      <c r="A50" s="12" t="s">
        <v>67</v>
      </c>
      <c r="B50" s="3" t="s">
        <v>142</v>
      </c>
    </row>
    <row r="51" spans="1:3">
      <c r="A51" s="12" t="s">
        <v>69</v>
      </c>
      <c r="B51" s="2" t="s">
        <v>136</v>
      </c>
    </row>
    <row r="52" spans="1:3">
      <c r="A52" s="10" t="s">
        <v>380</v>
      </c>
      <c r="B52" s="2" t="s">
        <v>136</v>
      </c>
    </row>
    <row r="53" spans="1:3">
      <c r="A53" s="12" t="s">
        <v>1</v>
      </c>
      <c r="B53" s="3" t="s">
        <v>112</v>
      </c>
      <c r="C53" s="2"/>
    </row>
    <row r="54" spans="1:3">
      <c r="A54" s="10" t="s">
        <v>312</v>
      </c>
      <c r="B54" s="8" t="s">
        <v>205</v>
      </c>
      <c r="C54" s="2"/>
    </row>
    <row r="55" spans="1:3">
      <c r="A55" s="10" t="s">
        <v>372</v>
      </c>
      <c r="B55" s="8" t="s">
        <v>205</v>
      </c>
      <c r="C55" s="2"/>
    </row>
    <row r="56" spans="1:3">
      <c r="A56" s="10" t="s">
        <v>373</v>
      </c>
      <c r="B56" s="8" t="s">
        <v>205</v>
      </c>
      <c r="C56" s="2"/>
    </row>
    <row r="57" spans="1:3">
      <c r="A57" s="10" t="s">
        <v>375</v>
      </c>
      <c r="B57" s="8" t="s">
        <v>205</v>
      </c>
      <c r="C57" s="2"/>
    </row>
    <row r="58" spans="1:3">
      <c r="A58" s="10" t="s">
        <v>385</v>
      </c>
      <c r="B58" s="8" t="s">
        <v>385</v>
      </c>
      <c r="C58" s="2"/>
    </row>
    <row r="59" spans="1:3">
      <c r="A59" s="10" t="s">
        <v>276</v>
      </c>
      <c r="B59" s="8" t="s">
        <v>296</v>
      </c>
      <c r="C59" s="2"/>
    </row>
    <row r="60" spans="1:3">
      <c r="A60" s="10" t="s">
        <v>327</v>
      </c>
      <c r="B60" s="8" t="s">
        <v>330</v>
      </c>
    </row>
    <row r="61" spans="1:3">
      <c r="A61" s="12" t="s">
        <v>95</v>
      </c>
      <c r="B61" s="3" t="s">
        <v>41</v>
      </c>
    </row>
    <row r="62" spans="1:3">
      <c r="A62" s="10" t="s">
        <v>307</v>
      </c>
      <c r="B62" s="8" t="s">
        <v>41</v>
      </c>
    </row>
    <row r="63" spans="1:3">
      <c r="A63" s="12" t="s">
        <v>115</v>
      </c>
      <c r="B63" s="3" t="s">
        <v>41</v>
      </c>
    </row>
    <row r="64" spans="1:3">
      <c r="A64" s="12" t="s">
        <v>60</v>
      </c>
      <c r="B64" s="3" t="s">
        <v>41</v>
      </c>
    </row>
    <row r="65" spans="1:2">
      <c r="A65" s="10" t="s">
        <v>213</v>
      </c>
      <c r="B65" s="3" t="s">
        <v>41</v>
      </c>
    </row>
    <row r="66" spans="1:2">
      <c r="A66" s="10" t="s">
        <v>364</v>
      </c>
      <c r="B66" s="8" t="s">
        <v>223</v>
      </c>
    </row>
    <row r="67" spans="1:2">
      <c r="A67" s="12" t="s">
        <v>5</v>
      </c>
      <c r="B67" s="3" t="s">
        <v>43</v>
      </c>
    </row>
    <row r="68" spans="1:2">
      <c r="A68" s="12" t="s">
        <v>14</v>
      </c>
      <c r="B68" s="3" t="s">
        <v>43</v>
      </c>
    </row>
    <row r="69" spans="1:2">
      <c r="A69" s="12" t="s">
        <v>122</v>
      </c>
      <c r="B69" s="3" t="s">
        <v>43</v>
      </c>
    </row>
    <row r="70" spans="1:2">
      <c r="A70" s="13" t="s">
        <v>158</v>
      </c>
      <c r="B70" s="2" t="s">
        <v>131</v>
      </c>
    </row>
    <row r="71" spans="1:2">
      <c r="A71" s="14" t="s">
        <v>258</v>
      </c>
      <c r="B71" s="2" t="s">
        <v>131</v>
      </c>
    </row>
    <row r="72" spans="1:2">
      <c r="A72" s="14" t="s">
        <v>374</v>
      </c>
      <c r="B72" s="2" t="s">
        <v>131</v>
      </c>
    </row>
    <row r="73" spans="1:2">
      <c r="A73" s="14" t="s">
        <v>226</v>
      </c>
      <c r="B73" s="7" t="s">
        <v>228</v>
      </c>
    </row>
    <row r="74" spans="1:2">
      <c r="A74" s="14" t="s">
        <v>331</v>
      </c>
      <c r="B74" s="7" t="s">
        <v>228</v>
      </c>
    </row>
    <row r="75" spans="1:2">
      <c r="A75" s="14" t="s">
        <v>199</v>
      </c>
      <c r="B75" s="2" t="s">
        <v>131</v>
      </c>
    </row>
    <row r="76" spans="1:2">
      <c r="A76" s="12" t="s">
        <v>0</v>
      </c>
      <c r="B76" s="3" t="s">
        <v>47</v>
      </c>
    </row>
    <row r="77" spans="1:2">
      <c r="A77" s="12" t="s">
        <v>7</v>
      </c>
      <c r="B77" s="3" t="s">
        <v>47</v>
      </c>
    </row>
    <row r="78" spans="1:2">
      <c r="A78" s="12" t="s">
        <v>66</v>
      </c>
      <c r="B78" s="3" t="s">
        <v>47</v>
      </c>
    </row>
    <row r="79" spans="1:2">
      <c r="A79" s="12" t="s">
        <v>282</v>
      </c>
      <c r="B79" s="3" t="s">
        <v>47</v>
      </c>
    </row>
    <row r="80" spans="1:2">
      <c r="A80" s="10" t="s">
        <v>306</v>
      </c>
      <c r="B80" s="8" t="s">
        <v>47</v>
      </c>
    </row>
    <row r="81" spans="1:2">
      <c r="A81" s="12" t="s">
        <v>40</v>
      </c>
      <c r="B81" s="3" t="s">
        <v>84</v>
      </c>
    </row>
    <row r="82" spans="1:2">
      <c r="A82" s="12" t="s">
        <v>135</v>
      </c>
      <c r="B82" s="2" t="s">
        <v>84</v>
      </c>
    </row>
    <row r="83" spans="1:2">
      <c r="A83" s="10" t="s">
        <v>256</v>
      </c>
      <c r="B83" s="3" t="s">
        <v>84</v>
      </c>
    </row>
    <row r="84" spans="1:2">
      <c r="A84" s="10" t="s">
        <v>257</v>
      </c>
      <c r="B84" s="2" t="s">
        <v>84</v>
      </c>
    </row>
    <row r="85" spans="1:2">
      <c r="A85" s="10" t="s">
        <v>333</v>
      </c>
      <c r="B85" s="2" t="s">
        <v>84</v>
      </c>
    </row>
    <row r="86" spans="1:2">
      <c r="A86" s="10" t="s">
        <v>335</v>
      </c>
      <c r="B86" s="2" t="s">
        <v>84</v>
      </c>
    </row>
    <row r="87" spans="1:2">
      <c r="A87" s="10" t="s">
        <v>341</v>
      </c>
      <c r="B87" s="2" t="s">
        <v>84</v>
      </c>
    </row>
    <row r="88" spans="1:2">
      <c r="A88" s="10" t="s">
        <v>347</v>
      </c>
      <c r="B88" s="2" t="s">
        <v>84</v>
      </c>
    </row>
    <row r="89" spans="1:2">
      <c r="A89" s="10" t="s">
        <v>188</v>
      </c>
      <c r="B89" s="7" t="s">
        <v>387</v>
      </c>
    </row>
    <row r="90" spans="1:2">
      <c r="A90" s="10" t="s">
        <v>216</v>
      </c>
      <c r="B90" s="7" t="s">
        <v>387</v>
      </c>
    </row>
    <row r="91" spans="1:2">
      <c r="A91" s="10" t="s">
        <v>219</v>
      </c>
      <c r="B91" s="7" t="s">
        <v>387</v>
      </c>
    </row>
    <row r="92" spans="1:2">
      <c r="A92" s="10" t="s">
        <v>277</v>
      </c>
      <c r="B92" s="7" t="s">
        <v>387</v>
      </c>
    </row>
    <row r="93" spans="1:2">
      <c r="A93" s="10" t="s">
        <v>278</v>
      </c>
      <c r="B93" s="7" t="s">
        <v>294</v>
      </c>
    </row>
    <row r="94" spans="1:2">
      <c r="A94" s="10" t="s">
        <v>279</v>
      </c>
      <c r="B94" s="7" t="s">
        <v>294</v>
      </c>
    </row>
    <row r="95" spans="1:2">
      <c r="A95" s="10" t="s">
        <v>159</v>
      </c>
      <c r="B95" s="3" t="s">
        <v>91</v>
      </c>
    </row>
    <row r="96" spans="1:2">
      <c r="A96" s="10" t="s">
        <v>180</v>
      </c>
      <c r="B96" s="8" t="s">
        <v>91</v>
      </c>
    </row>
    <row r="97" spans="1:2">
      <c r="A97" s="10" t="s">
        <v>281</v>
      </c>
      <c r="B97" s="8" t="s">
        <v>91</v>
      </c>
    </row>
    <row r="98" spans="1:2">
      <c r="A98" s="10" t="s">
        <v>274</v>
      </c>
      <c r="B98" s="8" t="s">
        <v>292</v>
      </c>
    </row>
    <row r="99" spans="1:2">
      <c r="A99" s="12" t="s">
        <v>68</v>
      </c>
      <c r="B99" s="3" t="s">
        <v>105</v>
      </c>
    </row>
    <row r="100" spans="1:2">
      <c r="A100" s="12" t="s">
        <v>110</v>
      </c>
      <c r="B100" s="15" t="s">
        <v>388</v>
      </c>
    </row>
    <row r="101" spans="1:2">
      <c r="A101" s="12" t="s">
        <v>6</v>
      </c>
      <c r="B101" s="15" t="s">
        <v>388</v>
      </c>
    </row>
    <row r="102" spans="1:2">
      <c r="A102" s="10" t="s">
        <v>382</v>
      </c>
      <c r="B102" s="15" t="s">
        <v>388</v>
      </c>
    </row>
    <row r="103" spans="1:2">
      <c r="A103" s="12" t="s">
        <v>19</v>
      </c>
      <c r="B103" s="3" t="s">
        <v>45</v>
      </c>
    </row>
    <row r="104" spans="1:2">
      <c r="A104" s="12" t="s">
        <v>44</v>
      </c>
      <c r="B104" s="3" t="s">
        <v>45</v>
      </c>
    </row>
    <row r="105" spans="1:2">
      <c r="A105" s="10" t="s">
        <v>272</v>
      </c>
      <c r="B105" s="8" t="s">
        <v>265</v>
      </c>
    </row>
    <row r="106" spans="1:2">
      <c r="A106" s="10" t="s">
        <v>316</v>
      </c>
      <c r="B106" s="8" t="s">
        <v>265</v>
      </c>
    </row>
    <row r="107" spans="1:2">
      <c r="A107" s="12" t="s">
        <v>127</v>
      </c>
      <c r="B107" s="3" t="s">
        <v>117</v>
      </c>
    </row>
    <row r="108" spans="1:2">
      <c r="A108" s="10" t="s">
        <v>378</v>
      </c>
      <c r="B108" s="3" t="s">
        <v>117</v>
      </c>
    </row>
    <row r="109" spans="1:2">
      <c r="A109" s="13" t="s">
        <v>63</v>
      </c>
      <c r="B109" s="2" t="s">
        <v>132</v>
      </c>
    </row>
    <row r="110" spans="1:2">
      <c r="A110" s="12" t="s">
        <v>42</v>
      </c>
      <c r="B110" s="3" t="s">
        <v>94</v>
      </c>
    </row>
    <row r="111" spans="1:2">
      <c r="A111" s="12" t="s">
        <v>70</v>
      </c>
      <c r="B111" s="3" t="s">
        <v>104</v>
      </c>
    </row>
    <row r="112" spans="1:2">
      <c r="A112" s="12" t="s">
        <v>71</v>
      </c>
      <c r="B112" s="3" t="s">
        <v>104</v>
      </c>
    </row>
    <row r="113" spans="1:3">
      <c r="A113" s="10" t="s">
        <v>209</v>
      </c>
      <c r="B113" s="8" t="s">
        <v>211</v>
      </c>
    </row>
    <row r="114" spans="1:3">
      <c r="A114" s="10" t="s">
        <v>367</v>
      </c>
      <c r="B114" s="8" t="s">
        <v>211</v>
      </c>
    </row>
    <row r="115" spans="1:3">
      <c r="A115" s="10" t="s">
        <v>368</v>
      </c>
      <c r="B115" s="8" t="s">
        <v>211</v>
      </c>
    </row>
    <row r="116" spans="1:3">
      <c r="A116" s="10" t="s">
        <v>377</v>
      </c>
      <c r="B116" s="8" t="s">
        <v>225</v>
      </c>
    </row>
    <row r="117" spans="1:3">
      <c r="A117" s="10" t="s">
        <v>379</v>
      </c>
      <c r="B117" s="8" t="s">
        <v>225</v>
      </c>
    </row>
    <row r="118" spans="1:3">
      <c r="A118" s="10" t="s">
        <v>323</v>
      </c>
      <c r="B118" s="8" t="s">
        <v>325</v>
      </c>
    </row>
    <row r="119" spans="1:3">
      <c r="A119" s="10" t="s">
        <v>298</v>
      </c>
      <c r="B119" s="8" t="s">
        <v>275</v>
      </c>
    </row>
    <row r="120" spans="1:3">
      <c r="A120" s="10" t="s">
        <v>319</v>
      </c>
      <c r="B120" s="8" t="s">
        <v>275</v>
      </c>
    </row>
    <row r="121" spans="1:3">
      <c r="A121" s="12" t="s">
        <v>2</v>
      </c>
      <c r="B121" s="3" t="s">
        <v>46</v>
      </c>
    </row>
    <row r="122" spans="1:3">
      <c r="A122" s="12" t="s">
        <v>74</v>
      </c>
      <c r="B122" s="3" t="s">
        <v>46</v>
      </c>
    </row>
    <row r="123" spans="1:3">
      <c r="A123" s="10" t="s">
        <v>371</v>
      </c>
      <c r="B123" s="3" t="s">
        <v>46</v>
      </c>
    </row>
    <row r="124" spans="1:3">
      <c r="A124" s="12" t="s">
        <v>16</v>
      </c>
      <c r="B124" s="3" t="s">
        <v>92</v>
      </c>
    </row>
    <row r="125" spans="1:3">
      <c r="A125" s="10" t="s">
        <v>340</v>
      </c>
      <c r="B125" s="3" t="s">
        <v>92</v>
      </c>
    </row>
    <row r="126" spans="1:3">
      <c r="A126" s="10" t="s">
        <v>345</v>
      </c>
      <c r="B126" s="3" t="s">
        <v>92</v>
      </c>
    </row>
    <row r="127" spans="1:3" ht="13.8">
      <c r="A127" s="10" t="s">
        <v>348</v>
      </c>
      <c r="B127" s="3" t="s">
        <v>92</v>
      </c>
      <c r="C127" s="6"/>
    </row>
    <row r="128" spans="1:3">
      <c r="A128" s="12" t="s">
        <v>141</v>
      </c>
      <c r="B128" s="3" t="s">
        <v>85</v>
      </c>
    </row>
    <row r="129" spans="1:3">
      <c r="A129" s="12" t="s">
        <v>140</v>
      </c>
      <c r="B129" s="3" t="s">
        <v>85</v>
      </c>
    </row>
    <row r="130" spans="1:3" ht="13.8">
      <c r="A130" s="10" t="s">
        <v>350</v>
      </c>
      <c r="B130" s="3" t="s">
        <v>85</v>
      </c>
      <c r="C130" s="6"/>
    </row>
    <row r="131" spans="1:3" ht="13.8">
      <c r="A131" s="10" t="s">
        <v>315</v>
      </c>
      <c r="B131" s="3" t="s">
        <v>85</v>
      </c>
      <c r="C131" s="6"/>
    </row>
    <row r="132" spans="1:3">
      <c r="A132" s="10" t="s">
        <v>317</v>
      </c>
      <c r="B132" s="3" t="s">
        <v>85</v>
      </c>
    </row>
    <row r="133" spans="1:3">
      <c r="A133" s="12" t="s">
        <v>108</v>
      </c>
      <c r="B133" s="5" t="s">
        <v>76</v>
      </c>
    </row>
    <row r="134" spans="1:3">
      <c r="A134" s="12" t="s">
        <v>150</v>
      </c>
      <c r="B134" s="5" t="s">
        <v>111</v>
      </c>
    </row>
    <row r="135" spans="1:3">
      <c r="A135" s="12" t="s">
        <v>149</v>
      </c>
      <c r="B135" s="5" t="s">
        <v>111</v>
      </c>
    </row>
    <row r="136" spans="1:3">
      <c r="A136" s="12" t="s">
        <v>106</v>
      </c>
      <c r="B136" s="3" t="s">
        <v>76</v>
      </c>
    </row>
    <row r="137" spans="1:3">
      <c r="A137" s="12" t="s">
        <v>15</v>
      </c>
      <c r="B137" s="3" t="s">
        <v>76</v>
      </c>
    </row>
    <row r="138" spans="1:3">
      <c r="A138" s="12" t="s">
        <v>57</v>
      </c>
      <c r="B138" s="3" t="s">
        <v>76</v>
      </c>
    </row>
    <row r="139" spans="1:3">
      <c r="A139" s="10" t="s">
        <v>220</v>
      </c>
      <c r="B139" s="8" t="s">
        <v>76</v>
      </c>
    </row>
    <row r="140" spans="1:3">
      <c r="A140" s="10" t="s">
        <v>324</v>
      </c>
      <c r="B140" s="8" t="s">
        <v>76</v>
      </c>
    </row>
    <row r="141" spans="1:3">
      <c r="A141" s="10" t="s">
        <v>299</v>
      </c>
      <c r="B141" s="8" t="s">
        <v>305</v>
      </c>
    </row>
    <row r="142" spans="1:3">
      <c r="A142" s="10" t="s">
        <v>300</v>
      </c>
      <c r="B142" s="8" t="s">
        <v>305</v>
      </c>
    </row>
    <row r="143" spans="1:3">
      <c r="A143" s="10" t="s">
        <v>303</v>
      </c>
      <c r="B143" s="8" t="s">
        <v>305</v>
      </c>
    </row>
    <row r="144" spans="1:3">
      <c r="A144" s="10" t="s">
        <v>342</v>
      </c>
      <c r="B144" s="8" t="s">
        <v>305</v>
      </c>
    </row>
    <row r="145" spans="1:3">
      <c r="A145" s="10" t="s">
        <v>343</v>
      </c>
      <c r="B145" s="8" t="s">
        <v>305</v>
      </c>
    </row>
    <row r="146" spans="1:3">
      <c r="A146" s="10" t="s">
        <v>334</v>
      </c>
      <c r="B146" s="8" t="s">
        <v>305</v>
      </c>
    </row>
    <row r="147" spans="1:3">
      <c r="A147" s="10" t="s">
        <v>336</v>
      </c>
      <c r="B147" s="8" t="s">
        <v>305</v>
      </c>
    </row>
    <row r="148" spans="1:3">
      <c r="A148" s="10" t="s">
        <v>337</v>
      </c>
      <c r="B148" s="8" t="s">
        <v>305</v>
      </c>
    </row>
    <row r="149" spans="1:3">
      <c r="A149" s="10" t="s">
        <v>339</v>
      </c>
      <c r="B149" s="8" t="s">
        <v>305</v>
      </c>
    </row>
    <row r="150" spans="1:3">
      <c r="A150" s="12" t="s">
        <v>124</v>
      </c>
      <c r="B150" s="5" t="s">
        <v>126</v>
      </c>
    </row>
    <row r="151" spans="1:3">
      <c r="A151" s="10" t="s">
        <v>181</v>
      </c>
      <c r="B151" s="9" t="s">
        <v>126</v>
      </c>
    </row>
    <row r="152" spans="1:3">
      <c r="A152" s="12" t="s">
        <v>151</v>
      </c>
      <c r="B152" s="5" t="s">
        <v>94</v>
      </c>
    </row>
    <row r="153" spans="1:3" ht="13.8">
      <c r="A153" s="12" t="s">
        <v>118</v>
      </c>
      <c r="B153" s="8" t="s">
        <v>389</v>
      </c>
      <c r="C153" s="6"/>
    </row>
    <row r="154" spans="1:3" ht="13.8">
      <c r="A154" s="12" t="s">
        <v>97</v>
      </c>
      <c r="B154" s="8" t="s">
        <v>389</v>
      </c>
      <c r="C154" s="6"/>
    </row>
    <row r="155" spans="1:3" ht="13.8">
      <c r="A155" s="12" t="s">
        <v>328</v>
      </c>
      <c r="B155" s="8" t="s">
        <v>389</v>
      </c>
      <c r="C155" s="6"/>
    </row>
    <row r="156" spans="1:3" ht="13.8">
      <c r="A156" s="12" t="s">
        <v>51</v>
      </c>
      <c r="B156" s="3" t="s">
        <v>102</v>
      </c>
      <c r="C156" s="6"/>
    </row>
    <row r="157" spans="1:3" ht="13.8">
      <c r="A157" s="12" t="s">
        <v>123</v>
      </c>
      <c r="B157" s="5" t="s">
        <v>102</v>
      </c>
      <c r="C157" s="6"/>
    </row>
    <row r="158" spans="1:3" ht="13.8">
      <c r="A158" s="10" t="s">
        <v>182</v>
      </c>
      <c r="B158" s="9" t="s">
        <v>102</v>
      </c>
      <c r="C158" s="6"/>
    </row>
    <row r="159" spans="1:3" ht="13.8">
      <c r="A159" s="10" t="s">
        <v>383</v>
      </c>
      <c r="B159" s="15" t="s">
        <v>102</v>
      </c>
      <c r="C159" s="6"/>
    </row>
    <row r="160" spans="1:3" ht="13.8">
      <c r="A160" s="10" t="s">
        <v>195</v>
      </c>
      <c r="B160" s="9" t="s">
        <v>102</v>
      </c>
      <c r="C160" s="6"/>
    </row>
    <row r="161" spans="1:3" ht="13.8">
      <c r="A161" s="10" t="s">
        <v>229</v>
      </c>
      <c r="B161" s="15" t="s">
        <v>232</v>
      </c>
      <c r="C161" s="6"/>
    </row>
    <row r="162" spans="1:3" ht="13.8">
      <c r="A162" s="10" t="s">
        <v>233</v>
      </c>
      <c r="B162" s="15" t="s">
        <v>232</v>
      </c>
      <c r="C162" s="6"/>
    </row>
    <row r="163" spans="1:3">
      <c r="A163" s="13" t="s">
        <v>65</v>
      </c>
      <c r="B163" s="2" t="s">
        <v>87</v>
      </c>
    </row>
    <row r="164" spans="1:3">
      <c r="A164" s="12" t="s">
        <v>109</v>
      </c>
      <c r="B164" s="3" t="s">
        <v>87</v>
      </c>
    </row>
    <row r="165" spans="1:3">
      <c r="A165" s="10" t="s">
        <v>193</v>
      </c>
      <c r="B165" s="8" t="s">
        <v>87</v>
      </c>
    </row>
    <row r="166" spans="1:3">
      <c r="A166" s="10" t="s">
        <v>376</v>
      </c>
      <c r="B166" s="8" t="s">
        <v>87</v>
      </c>
    </row>
    <row r="167" spans="1:3">
      <c r="A167" s="10" t="s">
        <v>254</v>
      </c>
      <c r="B167" s="8" t="s">
        <v>43</v>
      </c>
    </row>
    <row r="168" spans="1:3">
      <c r="A168" s="10" t="s">
        <v>255</v>
      </c>
      <c r="B168" s="8" t="s">
        <v>43</v>
      </c>
    </row>
    <row r="169" spans="1:3">
      <c r="A169" s="10" t="s">
        <v>270</v>
      </c>
      <c r="B169" s="8" t="s">
        <v>43</v>
      </c>
    </row>
    <row r="170" spans="1:3">
      <c r="A170" s="10" t="s">
        <v>271</v>
      </c>
      <c r="B170" s="8" t="s">
        <v>43</v>
      </c>
    </row>
    <row r="171" spans="1:3">
      <c r="A171" s="10" t="s">
        <v>212</v>
      </c>
      <c r="B171" s="8" t="s">
        <v>215</v>
      </c>
    </row>
    <row r="172" spans="1:3">
      <c r="A172" s="10" t="s">
        <v>191</v>
      </c>
      <c r="B172" s="3" t="s">
        <v>75</v>
      </c>
    </row>
    <row r="173" spans="1:3">
      <c r="A173" s="10" t="s">
        <v>192</v>
      </c>
      <c r="B173" s="3" t="s">
        <v>75</v>
      </c>
    </row>
    <row r="174" spans="1:3">
      <c r="A174" s="12" t="s">
        <v>20</v>
      </c>
      <c r="B174" s="3" t="s">
        <v>75</v>
      </c>
    </row>
    <row r="175" spans="1:3">
      <c r="A175" s="12" t="s">
        <v>21</v>
      </c>
      <c r="B175" s="2" t="s">
        <v>75</v>
      </c>
    </row>
    <row r="176" spans="1:3">
      <c r="A176" s="12" t="s">
        <v>231</v>
      </c>
      <c r="B176" s="2" t="s">
        <v>75</v>
      </c>
    </row>
    <row r="177" spans="1:2">
      <c r="A177" s="10" t="s">
        <v>381</v>
      </c>
      <c r="B177" s="2" t="s">
        <v>75</v>
      </c>
    </row>
    <row r="178" spans="1:2">
      <c r="A178" s="12" t="s">
        <v>11</v>
      </c>
      <c r="B178" s="3" t="s">
        <v>56</v>
      </c>
    </row>
    <row r="179" spans="1:2">
      <c r="A179" s="12" t="s">
        <v>55</v>
      </c>
      <c r="B179" s="3" t="s">
        <v>56</v>
      </c>
    </row>
    <row r="180" spans="1:2">
      <c r="A180" s="12" t="s">
        <v>214</v>
      </c>
      <c r="B180" s="3" t="s">
        <v>56</v>
      </c>
    </row>
    <row r="181" spans="1:2">
      <c r="A181" s="10" t="s">
        <v>267</v>
      </c>
      <c r="B181" s="3" t="s">
        <v>56</v>
      </c>
    </row>
    <row r="182" spans="1:2">
      <c r="A182" s="10" t="s">
        <v>268</v>
      </c>
      <c r="B182" s="3" t="s">
        <v>56</v>
      </c>
    </row>
    <row r="183" spans="1:2">
      <c r="A183" s="10" t="s">
        <v>269</v>
      </c>
      <c r="B183" s="3" t="s">
        <v>56</v>
      </c>
    </row>
    <row r="184" spans="1:2">
      <c r="A184" s="12" t="s">
        <v>125</v>
      </c>
      <c r="B184" s="5" t="s">
        <v>82</v>
      </c>
    </row>
    <row r="185" spans="1:2">
      <c r="A185" s="12" t="s">
        <v>9</v>
      </c>
      <c r="B185" s="3" t="s">
        <v>99</v>
      </c>
    </row>
    <row r="186" spans="1:2">
      <c r="A186" s="13" t="s">
        <v>61</v>
      </c>
      <c r="B186" s="2" t="s">
        <v>99</v>
      </c>
    </row>
    <row r="187" spans="1:2">
      <c r="A187" s="13" t="s">
        <v>165</v>
      </c>
      <c r="B187" s="2" t="s">
        <v>99</v>
      </c>
    </row>
    <row r="188" spans="1:2">
      <c r="A188" s="13" t="s">
        <v>204</v>
      </c>
      <c r="B188" s="2" t="s">
        <v>99</v>
      </c>
    </row>
    <row r="189" spans="1:2">
      <c r="A189" s="12" t="s">
        <v>154</v>
      </c>
      <c r="B189" s="3" t="s">
        <v>80</v>
      </c>
    </row>
    <row r="190" spans="1:2">
      <c r="A190" s="10" t="s">
        <v>156</v>
      </c>
      <c r="B190" s="3" t="s">
        <v>82</v>
      </c>
    </row>
    <row r="191" spans="1:2">
      <c r="A191" s="10" t="s">
        <v>183</v>
      </c>
      <c r="B191" s="8" t="s">
        <v>82</v>
      </c>
    </row>
    <row r="192" spans="1:2">
      <c r="A192" s="12" t="s">
        <v>8</v>
      </c>
      <c r="B192" s="8" t="s">
        <v>242</v>
      </c>
    </row>
    <row r="193" spans="1:2">
      <c r="A193" s="12" t="s">
        <v>146</v>
      </c>
      <c r="B193" s="3" t="s">
        <v>147</v>
      </c>
    </row>
    <row r="194" spans="1:2">
      <c r="A194" s="10" t="s">
        <v>356</v>
      </c>
      <c r="B194" s="3" t="s">
        <v>147</v>
      </c>
    </row>
    <row r="195" spans="1:2">
      <c r="A195" s="10" t="s">
        <v>322</v>
      </c>
      <c r="B195" s="3" t="s">
        <v>147</v>
      </c>
    </row>
    <row r="196" spans="1:2">
      <c r="A196" s="12" t="s">
        <v>119</v>
      </c>
      <c r="B196" s="8" t="s">
        <v>116</v>
      </c>
    </row>
    <row r="197" spans="1:2">
      <c r="A197" s="12" t="s">
        <v>120</v>
      </c>
      <c r="B197" s="8" t="s">
        <v>116</v>
      </c>
    </row>
    <row r="198" spans="1:2">
      <c r="A198" s="12" t="s">
        <v>121</v>
      </c>
      <c r="B198" s="8" t="s">
        <v>116</v>
      </c>
    </row>
    <row r="199" spans="1:2">
      <c r="A199" s="12" t="s">
        <v>210</v>
      </c>
      <c r="B199" s="8" t="s">
        <v>116</v>
      </c>
    </row>
    <row r="200" spans="1:2">
      <c r="A200" s="12" t="s">
        <v>273</v>
      </c>
      <c r="B200" s="8" t="s">
        <v>116</v>
      </c>
    </row>
    <row r="201" spans="1:2">
      <c r="A201" s="10" t="s">
        <v>301</v>
      </c>
      <c r="B201" s="8" t="s">
        <v>116</v>
      </c>
    </row>
    <row r="202" spans="1:2">
      <c r="A202" s="10" t="s">
        <v>304</v>
      </c>
      <c r="B202" s="8" t="s">
        <v>116</v>
      </c>
    </row>
    <row r="203" spans="1:2">
      <c r="A203" s="10" t="s">
        <v>310</v>
      </c>
      <c r="B203" s="8" t="s">
        <v>116</v>
      </c>
    </row>
    <row r="204" spans="1:2">
      <c r="A204" s="10" t="s">
        <v>309</v>
      </c>
      <c r="B204" s="8" t="s">
        <v>116</v>
      </c>
    </row>
    <row r="205" spans="1:2">
      <c r="A205" s="10" t="s">
        <v>254</v>
      </c>
      <c r="B205" s="8" t="s">
        <v>43</v>
      </c>
    </row>
    <row r="206" spans="1:2">
      <c r="A206" s="10" t="s">
        <v>255</v>
      </c>
      <c r="B206" s="8" t="s">
        <v>43</v>
      </c>
    </row>
    <row r="207" spans="1:2">
      <c r="A207" s="10" t="s">
        <v>270</v>
      </c>
      <c r="B207" s="8" t="s">
        <v>43</v>
      </c>
    </row>
    <row r="208" spans="1:2">
      <c r="A208" s="10" t="s">
        <v>160</v>
      </c>
      <c r="B208" s="3" t="s">
        <v>88</v>
      </c>
    </row>
    <row r="209" spans="1:2">
      <c r="A209" s="10" t="s">
        <v>161</v>
      </c>
      <c r="B209" s="3" t="s">
        <v>88</v>
      </c>
    </row>
    <row r="210" spans="1:2">
      <c r="A210" s="10" t="s">
        <v>243</v>
      </c>
      <c r="B210" s="3" t="s">
        <v>88</v>
      </c>
    </row>
    <row r="211" spans="1:2">
      <c r="A211" s="12" t="s">
        <v>12</v>
      </c>
      <c r="B211" s="3" t="s">
        <v>83</v>
      </c>
    </row>
    <row r="212" spans="1:2">
      <c r="A212" s="12" t="s">
        <v>49</v>
      </c>
      <c r="B212" s="2" t="s">
        <v>83</v>
      </c>
    </row>
    <row r="213" spans="1:2">
      <c r="A213" s="12" t="s">
        <v>184</v>
      </c>
      <c r="B213" s="2" t="s">
        <v>83</v>
      </c>
    </row>
    <row r="214" spans="1:2">
      <c r="A214" s="10" t="s">
        <v>344</v>
      </c>
      <c r="B214" s="2" t="s">
        <v>83</v>
      </c>
    </row>
    <row r="215" spans="1:2">
      <c r="A215" s="10" t="s">
        <v>338</v>
      </c>
      <c r="B215" s="2" t="s">
        <v>83</v>
      </c>
    </row>
    <row r="216" spans="1:2">
      <c r="A216" s="12" t="s">
        <v>10</v>
      </c>
      <c r="B216" s="3" t="s">
        <v>86</v>
      </c>
    </row>
    <row r="217" spans="1:2">
      <c r="A217" s="10" t="s">
        <v>297</v>
      </c>
      <c r="B217" s="8" t="s">
        <v>308</v>
      </c>
    </row>
    <row r="218" spans="1:2">
      <c r="A218" s="12" t="s">
        <v>152</v>
      </c>
      <c r="B218" s="3" t="s">
        <v>148</v>
      </c>
    </row>
    <row r="219" spans="1:2">
      <c r="A219" s="10" t="s">
        <v>264</v>
      </c>
      <c r="B219" s="3" t="s">
        <v>148</v>
      </c>
    </row>
    <row r="220" spans="1:2">
      <c r="A220" s="10" t="s">
        <v>357</v>
      </c>
      <c r="B220" s="3" t="s">
        <v>148</v>
      </c>
    </row>
    <row r="221" spans="1:2">
      <c r="A221" s="14" t="s">
        <v>62</v>
      </c>
      <c r="B221" s="2" t="s">
        <v>130</v>
      </c>
    </row>
    <row r="222" spans="1:2">
      <c r="A222" s="14" t="s">
        <v>196</v>
      </c>
      <c r="B222" s="2" t="s">
        <v>130</v>
      </c>
    </row>
    <row r="223" spans="1:2">
      <c r="A223" s="14" t="s">
        <v>197</v>
      </c>
      <c r="B223" s="2" t="s">
        <v>130</v>
      </c>
    </row>
    <row r="224" spans="1:2">
      <c r="A224" s="12" t="s">
        <v>17</v>
      </c>
      <c r="B224" s="3" t="s">
        <v>80</v>
      </c>
    </row>
    <row r="225" spans="1:2">
      <c r="A225" s="12" t="s">
        <v>137</v>
      </c>
      <c r="B225" s="3" t="s">
        <v>80</v>
      </c>
    </row>
    <row r="226" spans="1:2">
      <c r="A226" s="13" t="s">
        <v>64</v>
      </c>
      <c r="B226" s="2" t="s">
        <v>129</v>
      </c>
    </row>
    <row r="227" spans="1:2">
      <c r="A227" s="14" t="s">
        <v>189</v>
      </c>
      <c r="B227" s="7" t="s">
        <v>190</v>
      </c>
    </row>
    <row r="228" spans="1:2">
      <c r="A228" s="12" t="s">
        <v>103</v>
      </c>
      <c r="B228" s="3" t="s">
        <v>80</v>
      </c>
    </row>
    <row r="229" spans="1:2">
      <c r="A229" s="12" t="s">
        <v>155</v>
      </c>
      <c r="B229" s="3" t="s">
        <v>80</v>
      </c>
    </row>
    <row r="230" spans="1:2">
      <c r="A230" s="10" t="s">
        <v>230</v>
      </c>
      <c r="B230" s="3" t="s">
        <v>80</v>
      </c>
    </row>
    <row r="231" spans="1:2">
      <c r="A231" s="10" t="s">
        <v>162</v>
      </c>
      <c r="B231" s="8" t="s">
        <v>163</v>
      </c>
    </row>
    <row r="232" spans="1:2">
      <c r="A232" s="10" t="s">
        <v>198</v>
      </c>
      <c r="B232" s="8" t="s">
        <v>163</v>
      </c>
    </row>
    <row r="233" spans="1:2">
      <c r="A233" s="10" t="s">
        <v>280</v>
      </c>
      <c r="B233" s="8" t="s">
        <v>295</v>
      </c>
    </row>
    <row r="234" spans="1:2">
      <c r="A234" s="10" t="s">
        <v>351</v>
      </c>
      <c r="B234" s="3" t="s">
        <v>90</v>
      </c>
    </row>
    <row r="235" spans="1:2">
      <c r="A235" s="10" t="s">
        <v>352</v>
      </c>
      <c r="B235" s="3" t="s">
        <v>90</v>
      </c>
    </row>
    <row r="236" spans="1:2">
      <c r="A236" s="10" t="s">
        <v>358</v>
      </c>
      <c r="B236" s="3" t="s">
        <v>90</v>
      </c>
    </row>
    <row r="237" spans="1:2">
      <c r="A237" s="12" t="s">
        <v>13</v>
      </c>
      <c r="B237" s="3" t="s">
        <v>89</v>
      </c>
    </row>
    <row r="238" spans="1:2">
      <c r="A238" s="12" t="s">
        <v>58</v>
      </c>
      <c r="B238" s="3" t="s">
        <v>89</v>
      </c>
    </row>
    <row r="239" spans="1:2">
      <c r="A239" s="12" t="s">
        <v>59</v>
      </c>
      <c r="B239" s="3" t="s">
        <v>89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8"/>
  <sheetViews>
    <sheetView tabSelected="1" view="pageBreakPreview" topLeftCell="A61" zoomScaleNormal="100" zoomScaleSheetLayoutView="100" workbookViewId="0">
      <selection activeCell="O67" sqref="O67"/>
    </sheetView>
  </sheetViews>
  <sheetFormatPr baseColWidth="10" defaultRowHeight="15"/>
  <cols>
    <col min="1" max="1" width="7.77734375" style="353" customWidth="1"/>
    <col min="2" max="3" width="18.77734375" style="353" customWidth="1"/>
    <col min="4" max="4" width="5.77734375" style="353" customWidth="1"/>
    <col min="5" max="5" width="7.77734375" style="398" customWidth="1"/>
    <col min="6" max="7" width="18.77734375" style="353" customWidth="1"/>
    <col min="8" max="8" width="6" style="353" customWidth="1"/>
    <col min="9" max="9" width="20.6640625" style="353" bestFit="1" customWidth="1"/>
    <col min="10" max="13" width="2.33203125" style="353" bestFit="1" customWidth="1"/>
    <col min="14" max="14" width="13.6640625" style="353" bestFit="1" customWidth="1"/>
    <col min="15" max="15" width="11.6640625" style="353" bestFit="1" customWidth="1"/>
    <col min="16" max="16384" width="11.5546875" style="353"/>
  </cols>
  <sheetData>
    <row r="1" spans="1:15" ht="30" customHeight="1">
      <c r="A1" s="351" t="s">
        <v>444</v>
      </c>
      <c r="B1" s="351"/>
      <c r="C1" s="351"/>
      <c r="D1" s="351"/>
      <c r="E1" s="351"/>
      <c r="F1" s="351"/>
      <c r="G1" s="351"/>
      <c r="H1" s="352"/>
      <c r="I1" s="352"/>
    </row>
    <row r="2" spans="1:15" ht="30" customHeight="1">
      <c r="A2" s="354" t="s">
        <v>426</v>
      </c>
      <c r="B2" s="354"/>
      <c r="C2" s="354"/>
      <c r="D2" s="354"/>
      <c r="E2" s="354"/>
      <c r="F2" s="354"/>
      <c r="G2" s="354"/>
      <c r="H2" s="352"/>
      <c r="I2" s="352"/>
    </row>
    <row r="3" spans="1:15" ht="30" customHeight="1">
      <c r="A3" s="354" t="s">
        <v>427</v>
      </c>
      <c r="B3" s="354"/>
      <c r="C3" s="354"/>
      <c r="D3" s="354"/>
      <c r="E3" s="354"/>
      <c r="F3" s="354"/>
      <c r="G3" s="354"/>
      <c r="H3" s="352"/>
      <c r="I3" s="352"/>
    </row>
    <row r="4" spans="1:15" ht="30" customHeight="1">
      <c r="A4" s="354" t="s">
        <v>428</v>
      </c>
      <c r="B4" s="354"/>
      <c r="C4" s="354"/>
      <c r="D4" s="354"/>
      <c r="E4" s="354"/>
      <c r="F4" s="354"/>
      <c r="G4" s="354"/>
      <c r="H4" s="352"/>
      <c r="I4" s="352"/>
    </row>
    <row r="5" spans="1:15" ht="15" customHeight="1">
      <c r="A5" s="355"/>
      <c r="B5" s="355"/>
      <c r="C5" s="355"/>
      <c r="D5" s="356"/>
      <c r="E5" s="355"/>
      <c r="F5" s="355"/>
      <c r="G5" s="355"/>
      <c r="H5" s="352"/>
      <c r="I5" s="352"/>
    </row>
    <row r="6" spans="1:15" ht="15" customHeight="1">
      <c r="A6" s="357" t="e">
        <f>I15&amp;" ("&amp;N15&amp;")"</f>
        <v>#N/A</v>
      </c>
      <c r="B6" s="357"/>
      <c r="C6" s="357"/>
      <c r="D6" s="356"/>
      <c r="E6" s="357" t="e">
        <f>I19&amp;" ("&amp;N19&amp;")"</f>
        <v>#N/A</v>
      </c>
      <c r="F6" s="357"/>
      <c r="G6" s="357"/>
      <c r="H6" s="352"/>
      <c r="I6" s="352"/>
    </row>
    <row r="7" spans="1:15" ht="15" customHeight="1">
      <c r="A7" s="357" t="e">
        <f>I16&amp;" ("&amp;N16&amp;")"</f>
        <v>#N/A</v>
      </c>
      <c r="B7" s="357"/>
      <c r="C7" s="357"/>
      <c r="D7" s="356"/>
      <c r="E7" s="357" t="e">
        <f>I20&amp;" ("&amp;N20&amp;")"</f>
        <v>#N/A</v>
      </c>
      <c r="F7" s="357"/>
      <c r="G7" s="357"/>
      <c r="H7" s="352"/>
      <c r="I7" s="352"/>
    </row>
    <row r="8" spans="1:15" ht="15" customHeight="1">
      <c r="A8" s="357" t="e">
        <f>I17&amp;" ("&amp;N17&amp;")"</f>
        <v>#N/A</v>
      </c>
      <c r="B8" s="357"/>
      <c r="C8" s="357"/>
      <c r="D8" s="356"/>
      <c r="E8" s="358" t="e">
        <f>I21&amp;" ("&amp;N21&amp;")"</f>
        <v>#N/A</v>
      </c>
      <c r="F8" s="358"/>
      <c r="G8" s="358"/>
      <c r="H8" s="352"/>
      <c r="I8" s="352"/>
    </row>
    <row r="9" spans="1:15" ht="15" customHeight="1">
      <c r="A9" s="357" t="e">
        <f>I18&amp;" ("&amp;N18&amp;")"</f>
        <v>#N/A</v>
      </c>
      <c r="B9" s="357"/>
      <c r="C9" s="357"/>
      <c r="D9" s="356"/>
      <c r="E9" s="358" t="e">
        <f>I22&amp;" ("&amp;N22&amp;")"</f>
        <v>#N/A</v>
      </c>
      <c r="F9" s="358"/>
      <c r="G9" s="358"/>
      <c r="H9" s="352"/>
      <c r="I9" s="352"/>
    </row>
    <row r="10" spans="1:15" ht="15" customHeight="1">
      <c r="A10" s="359"/>
      <c r="B10" s="359"/>
      <c r="C10" s="359"/>
      <c r="D10" s="359"/>
      <c r="E10" s="360"/>
      <c r="F10" s="359"/>
      <c r="G10" s="359"/>
      <c r="H10" s="352"/>
      <c r="I10" s="352"/>
    </row>
    <row r="11" spans="1:15" ht="15" customHeight="1">
      <c r="A11" s="361" t="s">
        <v>22</v>
      </c>
      <c r="B11" s="362"/>
      <c r="C11" s="363"/>
      <c r="D11" s="364"/>
      <c r="E11" s="361" t="s">
        <v>23</v>
      </c>
      <c r="F11" s="362"/>
      <c r="G11" s="363"/>
      <c r="H11" s="352"/>
      <c r="I11" s="352"/>
      <c r="J11" s="365"/>
    </row>
    <row r="12" spans="1:15" ht="15" customHeight="1">
      <c r="A12" s="364"/>
      <c r="B12" s="366"/>
      <c r="C12" s="366"/>
      <c r="D12" s="364"/>
      <c r="E12" s="367"/>
      <c r="F12" s="366"/>
      <c r="G12" s="366"/>
      <c r="H12" s="352"/>
      <c r="I12" s="352"/>
    </row>
    <row r="13" spans="1:15" ht="15" customHeight="1">
      <c r="A13" s="368" t="s">
        <v>37</v>
      </c>
      <c r="B13" s="361" t="s">
        <v>77</v>
      </c>
      <c r="C13" s="363"/>
      <c r="D13" s="352"/>
      <c r="E13" s="369" t="s">
        <v>157</v>
      </c>
      <c r="F13" s="370" t="str">
        <f>I19</f>
        <v>Equipe 5</v>
      </c>
      <c r="G13" s="371" t="s">
        <v>113</v>
      </c>
      <c r="H13" s="352"/>
      <c r="I13" s="352"/>
      <c r="J13" s="372"/>
    </row>
    <row r="14" spans="1:15" ht="15" customHeight="1">
      <c r="A14" s="364"/>
      <c r="B14" s="366"/>
      <c r="C14" s="366"/>
      <c r="D14" s="352"/>
      <c r="E14" s="373"/>
      <c r="F14" s="370" t="str">
        <f>I22</f>
        <v>Equipe 8</v>
      </c>
      <c r="G14" s="374" t="str">
        <f>I23</f>
        <v>Directeur de tournoi</v>
      </c>
      <c r="H14" s="352"/>
      <c r="J14" s="372"/>
    </row>
    <row r="15" spans="1:15" ht="15" customHeight="1">
      <c r="A15" s="375" t="s">
        <v>24</v>
      </c>
      <c r="B15" s="376" t="str">
        <f>I18</f>
        <v>Equipe 4</v>
      </c>
      <c r="C15" s="371" t="s">
        <v>113</v>
      </c>
      <c r="D15" s="352"/>
      <c r="E15" s="377"/>
      <c r="F15" s="378"/>
      <c r="G15" s="379"/>
      <c r="H15" s="352"/>
      <c r="I15" s="380" t="s">
        <v>429</v>
      </c>
      <c r="J15" s="381">
        <f t="shared" ref="J15:J22" si="0">COUNTIF($B$15:$B$37,I15)+COUNTIF($F$13:$F$48,I15)</f>
        <v>5</v>
      </c>
      <c r="K15" s="381">
        <f>COUNTIF($B$15:$B$37,I15)</f>
        <v>2</v>
      </c>
      <c r="L15" s="381">
        <f t="shared" ref="L15:L22" si="1">COUNTIF($F$13:$F$48,I15)</f>
        <v>3</v>
      </c>
      <c r="M15" s="381">
        <f t="shared" ref="M15:M23" si="2">COUNTIF($C$15:$C$37,I15)+COUNTIF($G$13:$G$48,I15)</f>
        <v>2</v>
      </c>
      <c r="N15" s="382" t="e">
        <f>VLOOKUP(I15,'[2]club-ville'!A:B,2,FALSE)</f>
        <v>#N/A</v>
      </c>
      <c r="O15" s="380"/>
    </row>
    <row r="16" spans="1:15" ht="15" customHeight="1">
      <c r="A16" s="383"/>
      <c r="B16" s="376" t="str">
        <f>I19</f>
        <v>Equipe 5</v>
      </c>
      <c r="C16" s="374" t="str">
        <f>I23</f>
        <v>Directeur de tournoi</v>
      </c>
      <c r="D16" s="352"/>
      <c r="E16" s="369" t="s">
        <v>392</v>
      </c>
      <c r="F16" s="370" t="str">
        <f>I18</f>
        <v>Equipe 4</v>
      </c>
      <c r="G16" s="371" t="s">
        <v>113</v>
      </c>
      <c r="H16" s="352"/>
      <c r="I16" s="380" t="s">
        <v>430</v>
      </c>
      <c r="J16" s="381">
        <f t="shared" si="0"/>
        <v>5</v>
      </c>
      <c r="K16" s="381">
        <f t="shared" ref="K16:K22" si="3">COUNTIF($B$15:$B$37,I16)</f>
        <v>2</v>
      </c>
      <c r="L16" s="381">
        <f t="shared" si="1"/>
        <v>3</v>
      </c>
      <c r="M16" s="381">
        <f t="shared" si="2"/>
        <v>2</v>
      </c>
      <c r="N16" s="382" t="e">
        <f>VLOOKUP(I16,'[2]club-ville'!A:B,2,FALSE)</f>
        <v>#N/A</v>
      </c>
      <c r="O16" s="380"/>
    </row>
    <row r="17" spans="1:15" ht="15" customHeight="1">
      <c r="A17" s="352"/>
      <c r="B17" s="378"/>
      <c r="C17" s="384"/>
      <c r="D17" s="385"/>
      <c r="E17" s="373"/>
      <c r="F17" s="370" t="str">
        <f>I21</f>
        <v>Equipe 7</v>
      </c>
      <c r="G17" s="374" t="str">
        <f>I20</f>
        <v>Equipe 6</v>
      </c>
      <c r="H17" s="352"/>
      <c r="I17" s="380" t="s">
        <v>431</v>
      </c>
      <c r="J17" s="381">
        <f t="shared" si="0"/>
        <v>5</v>
      </c>
      <c r="K17" s="381">
        <f t="shared" si="3"/>
        <v>2</v>
      </c>
      <c r="L17" s="381">
        <f t="shared" si="1"/>
        <v>3</v>
      </c>
      <c r="M17" s="381">
        <f t="shared" si="2"/>
        <v>2</v>
      </c>
      <c r="N17" s="382" t="e">
        <f>VLOOKUP(I17,'[2]club-ville'!A:B,2,FALSE)</f>
        <v>#N/A</v>
      </c>
      <c r="O17" s="380"/>
    </row>
    <row r="18" spans="1:15" ht="15" customHeight="1">
      <c r="A18" s="375" t="s">
        <v>393</v>
      </c>
      <c r="B18" s="370" t="str">
        <f>I17</f>
        <v>Equipe 3</v>
      </c>
      <c r="C18" s="371" t="s">
        <v>113</v>
      </c>
      <c r="D18" s="352"/>
      <c r="E18" s="377"/>
      <c r="F18" s="378"/>
      <c r="G18" s="379"/>
      <c r="H18" s="352"/>
      <c r="I18" s="380" t="s">
        <v>432</v>
      </c>
      <c r="J18" s="381">
        <f t="shared" si="0"/>
        <v>5</v>
      </c>
      <c r="K18" s="381">
        <f t="shared" si="3"/>
        <v>2</v>
      </c>
      <c r="L18" s="381">
        <f t="shared" si="1"/>
        <v>3</v>
      </c>
      <c r="M18" s="381">
        <f t="shared" si="2"/>
        <v>2</v>
      </c>
      <c r="N18" s="382" t="e">
        <f>VLOOKUP(I18,'[2]club-ville'!A:B,2,FALSE)</f>
        <v>#N/A</v>
      </c>
      <c r="O18" s="380"/>
    </row>
    <row r="19" spans="1:15" ht="15" customHeight="1">
      <c r="A19" s="383"/>
      <c r="B19" s="370" t="str">
        <f>I20</f>
        <v>Equipe 6</v>
      </c>
      <c r="C19" s="374" t="str">
        <f>I18</f>
        <v>Equipe 4</v>
      </c>
      <c r="D19" s="352"/>
      <c r="E19" s="369" t="s">
        <v>394</v>
      </c>
      <c r="F19" s="370" t="str">
        <f>I16</f>
        <v>Equipe 2</v>
      </c>
      <c r="G19" s="371" t="s">
        <v>113</v>
      </c>
      <c r="H19" s="352"/>
      <c r="I19" s="380" t="s">
        <v>433</v>
      </c>
      <c r="J19" s="381">
        <f t="shared" si="0"/>
        <v>5</v>
      </c>
      <c r="K19" s="381">
        <f t="shared" si="3"/>
        <v>2</v>
      </c>
      <c r="L19" s="381">
        <f t="shared" si="1"/>
        <v>3</v>
      </c>
      <c r="M19" s="381">
        <f t="shared" si="2"/>
        <v>2</v>
      </c>
      <c r="N19" s="382" t="e">
        <f>VLOOKUP(I19,'[2]club-ville'!A:B,2,FALSE)</f>
        <v>#N/A</v>
      </c>
      <c r="O19" s="380"/>
    </row>
    <row r="20" spans="1:15" ht="15" customHeight="1">
      <c r="A20" s="352"/>
      <c r="B20" s="378"/>
      <c r="C20" s="379"/>
      <c r="D20" s="385"/>
      <c r="E20" s="373"/>
      <c r="F20" s="370" t="str">
        <f>I17</f>
        <v>Equipe 3</v>
      </c>
      <c r="G20" s="374" t="str">
        <f>I19</f>
        <v>Equipe 5</v>
      </c>
      <c r="H20" s="352"/>
      <c r="I20" s="380" t="s">
        <v>434</v>
      </c>
      <c r="J20" s="381">
        <f t="shared" si="0"/>
        <v>5</v>
      </c>
      <c r="K20" s="381">
        <f t="shared" si="3"/>
        <v>2</v>
      </c>
      <c r="L20" s="381">
        <f t="shared" si="1"/>
        <v>3</v>
      </c>
      <c r="M20" s="381">
        <f t="shared" si="2"/>
        <v>2</v>
      </c>
      <c r="N20" s="382" t="e">
        <f>VLOOKUP(I20,'[2]club-ville'!A:B,2,FALSE)</f>
        <v>#N/A</v>
      </c>
      <c r="O20" s="380"/>
    </row>
    <row r="21" spans="1:15" ht="15" customHeight="1">
      <c r="A21" s="375" t="s">
        <v>395</v>
      </c>
      <c r="B21" s="370" t="str">
        <f>I16</f>
        <v>Equipe 2</v>
      </c>
      <c r="C21" s="371" t="s">
        <v>113</v>
      </c>
      <c r="D21" s="352"/>
      <c r="E21" s="377"/>
      <c r="F21" s="378"/>
      <c r="G21" s="379"/>
      <c r="H21" s="352"/>
      <c r="I21" s="380" t="s">
        <v>443</v>
      </c>
      <c r="J21" s="381">
        <f t="shared" si="0"/>
        <v>5</v>
      </c>
      <c r="K21" s="381">
        <f t="shared" si="3"/>
        <v>2</v>
      </c>
      <c r="L21" s="381">
        <f t="shared" si="1"/>
        <v>3</v>
      </c>
      <c r="M21" s="381">
        <f t="shared" si="2"/>
        <v>2</v>
      </c>
      <c r="N21" s="382" t="e">
        <f>VLOOKUP(I21,'[2]club-ville'!A:B,2,FALSE)</f>
        <v>#N/A</v>
      </c>
      <c r="O21" s="380"/>
    </row>
    <row r="22" spans="1:15" ht="15" customHeight="1">
      <c r="A22" s="383"/>
      <c r="B22" s="370" t="str">
        <f>I21</f>
        <v>Equipe 7</v>
      </c>
      <c r="C22" s="374" t="str">
        <f>I17</f>
        <v>Equipe 3</v>
      </c>
      <c r="D22" s="352"/>
      <c r="E22" s="369" t="s">
        <v>396</v>
      </c>
      <c r="F22" s="370" t="str">
        <f>I15</f>
        <v>Equipe 1</v>
      </c>
      <c r="G22" s="371" t="s">
        <v>113</v>
      </c>
      <c r="H22" s="352"/>
      <c r="I22" s="380" t="s">
        <v>458</v>
      </c>
      <c r="J22" s="381">
        <f t="shared" si="0"/>
        <v>5</v>
      </c>
      <c r="K22" s="381">
        <f t="shared" si="3"/>
        <v>2</v>
      </c>
      <c r="L22" s="381">
        <f t="shared" si="1"/>
        <v>3</v>
      </c>
      <c r="M22" s="381">
        <f t="shared" si="2"/>
        <v>2</v>
      </c>
      <c r="N22" s="382" t="e">
        <f>VLOOKUP(I22,'[2]club-ville'!A:B,2,FALSE)</f>
        <v>#N/A</v>
      </c>
      <c r="O22" s="380"/>
    </row>
    <row r="23" spans="1:15" ht="15" customHeight="1">
      <c r="A23" s="352"/>
      <c r="B23" s="378"/>
      <c r="C23" s="379"/>
      <c r="D23" s="385"/>
      <c r="E23" s="373"/>
      <c r="F23" s="370" t="str">
        <f>I20</f>
        <v>Equipe 6</v>
      </c>
      <c r="G23" s="374" t="str">
        <f>I22</f>
        <v>Equipe 8</v>
      </c>
      <c r="H23" s="352"/>
      <c r="I23" s="386" t="s">
        <v>30</v>
      </c>
      <c r="J23" s="381"/>
      <c r="K23" s="381"/>
      <c r="L23" s="381"/>
      <c r="M23" s="381">
        <f t="shared" si="2"/>
        <v>4</v>
      </c>
    </row>
    <row r="24" spans="1:15" ht="15" customHeight="1">
      <c r="A24" s="375" t="s">
        <v>153</v>
      </c>
      <c r="B24" s="370" t="str">
        <f>I15</f>
        <v>Equipe 1</v>
      </c>
      <c r="C24" s="371" t="s">
        <v>113</v>
      </c>
      <c r="D24" s="352"/>
      <c r="E24" s="377"/>
      <c r="F24" s="378"/>
      <c r="G24" s="379"/>
      <c r="H24" s="352"/>
      <c r="J24" s="372"/>
    </row>
    <row r="25" spans="1:15" ht="15" customHeight="1">
      <c r="A25" s="383"/>
      <c r="B25" s="370" t="str">
        <f>I22</f>
        <v>Equipe 8</v>
      </c>
      <c r="C25" s="374" t="str">
        <f>I16</f>
        <v>Equipe 2</v>
      </c>
      <c r="D25" s="352"/>
      <c r="E25" s="369" t="s">
        <v>202</v>
      </c>
      <c r="F25" s="370" t="str">
        <f>I17</f>
        <v>Equipe 3</v>
      </c>
      <c r="G25" s="371" t="s">
        <v>113</v>
      </c>
      <c r="H25" s="352"/>
    </row>
    <row r="26" spans="1:15" ht="15" customHeight="1">
      <c r="A26" s="352"/>
      <c r="B26" s="378"/>
      <c r="C26" s="379"/>
      <c r="D26" s="385"/>
      <c r="E26" s="373"/>
      <c r="F26" s="370" t="str">
        <f>I21</f>
        <v>Equipe 7</v>
      </c>
      <c r="G26" s="374" t="str">
        <f>I18</f>
        <v>Equipe 4</v>
      </c>
      <c r="H26" s="352"/>
    </row>
    <row r="27" spans="1:15" ht="15" customHeight="1">
      <c r="A27" s="375" t="s">
        <v>397</v>
      </c>
      <c r="B27" s="370" t="str">
        <f>I18</f>
        <v>Equipe 4</v>
      </c>
      <c r="C27" s="371" t="s">
        <v>113</v>
      </c>
      <c r="D27" s="352"/>
      <c r="E27" s="377"/>
      <c r="F27" s="378"/>
      <c r="G27" s="379"/>
      <c r="H27" s="352"/>
      <c r="J27" s="385"/>
      <c r="K27" s="385"/>
    </row>
    <row r="28" spans="1:15" ht="15" customHeight="1">
      <c r="A28" s="383"/>
      <c r="B28" s="370" t="str">
        <f>I20</f>
        <v>Equipe 6</v>
      </c>
      <c r="C28" s="374" t="str">
        <f>I15</f>
        <v>Equipe 1</v>
      </c>
      <c r="D28" s="352"/>
      <c r="E28" s="369" t="s">
        <v>398</v>
      </c>
      <c r="F28" s="370" t="str">
        <f>I20</f>
        <v>Equipe 6</v>
      </c>
      <c r="G28" s="371" t="s">
        <v>113</v>
      </c>
      <c r="H28" s="352"/>
      <c r="J28" s="385"/>
      <c r="K28" s="385"/>
    </row>
    <row r="29" spans="1:15" ht="15" customHeight="1">
      <c r="A29" s="352"/>
      <c r="B29" s="378"/>
      <c r="C29" s="379"/>
      <c r="D29" s="385"/>
      <c r="E29" s="373"/>
      <c r="F29" s="370" t="str">
        <f>I22</f>
        <v>Equipe 8</v>
      </c>
      <c r="G29" s="374" t="str">
        <f>I19</f>
        <v>Equipe 5</v>
      </c>
      <c r="H29" s="352"/>
      <c r="J29" s="385"/>
      <c r="K29" s="385"/>
    </row>
    <row r="30" spans="1:15" ht="15" customHeight="1">
      <c r="A30" s="375" t="s">
        <v>399</v>
      </c>
      <c r="B30" s="370" t="str">
        <f>I17</f>
        <v>Equipe 3</v>
      </c>
      <c r="C30" s="371" t="s">
        <v>113</v>
      </c>
      <c r="D30" s="352"/>
      <c r="E30" s="377"/>
      <c r="F30" s="378"/>
      <c r="G30" s="379"/>
      <c r="H30" s="352"/>
      <c r="J30" s="386"/>
      <c r="K30" s="386"/>
    </row>
    <row r="31" spans="1:15" ht="15" customHeight="1">
      <c r="A31" s="383"/>
      <c r="B31" s="370" t="str">
        <f>I19</f>
        <v>Equipe 5</v>
      </c>
      <c r="C31" s="387" t="str">
        <f>I22</f>
        <v>Equipe 8</v>
      </c>
      <c r="D31" s="352"/>
      <c r="E31" s="369" t="s">
        <v>208</v>
      </c>
      <c r="F31" s="370" t="str">
        <f>I16</f>
        <v>Equipe 2</v>
      </c>
      <c r="G31" s="371" t="s">
        <v>113</v>
      </c>
      <c r="H31" s="352"/>
      <c r="I31" s="385"/>
      <c r="J31" s="385"/>
      <c r="K31" s="385"/>
    </row>
    <row r="32" spans="1:15" ht="15" customHeight="1">
      <c r="A32" s="352"/>
      <c r="B32" s="388"/>
      <c r="C32" s="389"/>
      <c r="D32" s="385"/>
      <c r="E32" s="373"/>
      <c r="F32" s="370" t="str">
        <f>I18</f>
        <v>Equipe 4</v>
      </c>
      <c r="G32" s="374" t="str">
        <f>I21</f>
        <v>Equipe 7</v>
      </c>
      <c r="H32" s="352"/>
      <c r="I32" s="385"/>
      <c r="J32" s="385"/>
      <c r="K32" s="385"/>
    </row>
    <row r="33" spans="1:11" ht="15" customHeight="1">
      <c r="A33" s="375" t="s">
        <v>391</v>
      </c>
      <c r="B33" s="370" t="str">
        <f>I16</f>
        <v>Equipe 2</v>
      </c>
      <c r="C33" s="371" t="s">
        <v>113</v>
      </c>
      <c r="D33" s="385"/>
      <c r="E33" s="377"/>
      <c r="F33" s="390"/>
      <c r="G33" s="391"/>
      <c r="H33" s="352"/>
      <c r="I33" s="385"/>
      <c r="J33" s="385"/>
      <c r="K33" s="385"/>
    </row>
    <row r="34" spans="1:11" ht="15" customHeight="1">
      <c r="A34" s="383"/>
      <c r="B34" s="370" t="str">
        <f>I22</f>
        <v>Equipe 8</v>
      </c>
      <c r="C34" s="374" t="str">
        <f>I21</f>
        <v>Equipe 7</v>
      </c>
      <c r="D34" s="385"/>
      <c r="E34" s="369" t="s">
        <v>36</v>
      </c>
      <c r="F34" s="370" t="str">
        <f>I15</f>
        <v>Equipe 1</v>
      </c>
      <c r="G34" s="371" t="s">
        <v>113</v>
      </c>
      <c r="H34" s="352"/>
      <c r="I34" s="385"/>
      <c r="J34" s="385"/>
      <c r="K34" s="385"/>
    </row>
    <row r="35" spans="1:11" ht="15" customHeight="1">
      <c r="A35" s="352"/>
      <c r="B35" s="388"/>
      <c r="C35" s="392"/>
      <c r="D35" s="385"/>
      <c r="E35" s="373"/>
      <c r="F35" s="370" t="str">
        <f>I19</f>
        <v>Equipe 5</v>
      </c>
      <c r="G35" s="374" t="str">
        <f>I16</f>
        <v>Equipe 2</v>
      </c>
      <c r="H35" s="352"/>
      <c r="I35" s="385"/>
      <c r="J35" s="385"/>
      <c r="K35" s="385"/>
    </row>
    <row r="36" spans="1:11" ht="15" customHeight="1">
      <c r="A36" s="375" t="s">
        <v>400</v>
      </c>
      <c r="B36" s="370" t="str">
        <f>I15</f>
        <v>Equipe 1</v>
      </c>
      <c r="C36" s="371" t="s">
        <v>113</v>
      </c>
      <c r="D36" s="385"/>
      <c r="E36" s="377"/>
      <c r="F36" s="390"/>
      <c r="G36" s="391"/>
      <c r="H36" s="352"/>
      <c r="I36" s="385"/>
      <c r="J36" s="385"/>
      <c r="K36" s="385"/>
    </row>
    <row r="37" spans="1:11" ht="15" customHeight="1">
      <c r="A37" s="383"/>
      <c r="B37" s="370" t="str">
        <f>I21</f>
        <v>Equipe 7</v>
      </c>
      <c r="C37" s="374" t="str">
        <f>I23</f>
        <v>Directeur de tournoi</v>
      </c>
      <c r="D37" s="385"/>
      <c r="E37" s="369" t="s">
        <v>401</v>
      </c>
      <c r="F37" s="370" t="str">
        <f>I17</f>
        <v>Equipe 3</v>
      </c>
      <c r="G37" s="371" t="s">
        <v>113</v>
      </c>
      <c r="H37" s="352"/>
      <c r="I37" s="385"/>
      <c r="J37" s="385"/>
      <c r="K37" s="385"/>
    </row>
    <row r="38" spans="1:11" ht="15" customHeight="1">
      <c r="A38" s="352"/>
      <c r="B38" s="390"/>
      <c r="C38" s="393"/>
      <c r="D38" s="385"/>
      <c r="E38" s="373"/>
      <c r="F38" s="370" t="str">
        <f>I22</f>
        <v>Equipe 8</v>
      </c>
      <c r="G38" s="374" t="str">
        <f>I15</f>
        <v>Equipe 1</v>
      </c>
      <c r="H38" s="352"/>
      <c r="I38" s="385"/>
      <c r="J38" s="385"/>
      <c r="K38" s="385"/>
    </row>
    <row r="39" spans="1:11" ht="15" customHeight="1">
      <c r="A39" s="352"/>
      <c r="B39" s="390"/>
      <c r="C39" s="393"/>
      <c r="D39" s="385"/>
      <c r="E39" s="377"/>
      <c r="F39" s="390"/>
      <c r="G39" s="391"/>
      <c r="H39" s="352"/>
      <c r="I39" s="385"/>
      <c r="J39" s="385"/>
      <c r="K39" s="385"/>
    </row>
    <row r="40" spans="1:11" ht="15" customHeight="1">
      <c r="A40" s="352"/>
      <c r="B40" s="390"/>
      <c r="C40" s="393"/>
      <c r="D40" s="385"/>
      <c r="E40" s="369" t="s">
        <v>390</v>
      </c>
      <c r="F40" s="370" t="str">
        <f>I16</f>
        <v>Equipe 2</v>
      </c>
      <c r="G40" s="371" t="s">
        <v>113</v>
      </c>
      <c r="H40" s="352"/>
      <c r="I40" s="385"/>
      <c r="J40" s="385"/>
      <c r="K40" s="385"/>
    </row>
    <row r="41" spans="1:11" ht="15" customHeight="1">
      <c r="A41" s="352"/>
      <c r="B41" s="390"/>
      <c r="C41" s="393"/>
      <c r="D41" s="385"/>
      <c r="E41" s="373"/>
      <c r="F41" s="370" t="str">
        <f>I20</f>
        <v>Equipe 6</v>
      </c>
      <c r="G41" s="374" t="str">
        <f>I17</f>
        <v>Equipe 3</v>
      </c>
      <c r="H41" s="352"/>
      <c r="I41" s="385"/>
      <c r="J41" s="385"/>
      <c r="K41" s="385"/>
    </row>
    <row r="42" spans="1:11" ht="15" customHeight="1">
      <c r="A42" s="352"/>
      <c r="B42" s="352"/>
      <c r="C42" s="352"/>
      <c r="D42" s="352"/>
      <c r="E42" s="377"/>
      <c r="F42" s="378"/>
      <c r="G42" s="379"/>
      <c r="H42" s="352"/>
      <c r="I42" s="385"/>
      <c r="J42" s="394"/>
      <c r="K42" s="394"/>
    </row>
    <row r="43" spans="1:11" ht="15" customHeight="1">
      <c r="A43" s="260" t="s">
        <v>466</v>
      </c>
      <c r="B43" s="261"/>
      <c r="C43" s="262"/>
      <c r="D43" s="352"/>
      <c r="E43" s="369" t="s">
        <v>26</v>
      </c>
      <c r="F43" s="370" t="str">
        <f>I19</f>
        <v>Equipe 5</v>
      </c>
      <c r="G43" s="371" t="s">
        <v>113</v>
      </c>
      <c r="H43" s="352"/>
      <c r="I43" s="385"/>
      <c r="J43" s="395"/>
      <c r="K43" s="395"/>
    </row>
    <row r="44" spans="1:11" ht="15" customHeight="1">
      <c r="A44" s="263"/>
      <c r="B44" s="264"/>
      <c r="C44" s="265"/>
      <c r="D44" s="385"/>
      <c r="E44" s="373"/>
      <c r="F44" s="370" t="str">
        <f>I21</f>
        <v>Equipe 7</v>
      </c>
      <c r="G44" s="374" t="str">
        <f>I20</f>
        <v>Equipe 6</v>
      </c>
      <c r="H44" s="352"/>
      <c r="I44" s="385"/>
      <c r="J44" s="395"/>
      <c r="K44" s="395"/>
    </row>
    <row r="45" spans="1:11" ht="15" customHeight="1">
      <c r="A45" s="263"/>
      <c r="B45" s="264"/>
      <c r="C45" s="265"/>
      <c r="D45" s="352"/>
      <c r="E45" s="377"/>
      <c r="F45" s="378"/>
      <c r="G45" s="379"/>
      <c r="H45" s="352"/>
      <c r="I45" s="385"/>
    </row>
    <row r="46" spans="1:11" ht="15" customHeight="1">
      <c r="A46" s="263"/>
      <c r="B46" s="264"/>
      <c r="C46" s="265"/>
      <c r="D46" s="352"/>
      <c r="E46" s="369" t="s">
        <v>402</v>
      </c>
      <c r="F46" s="370" t="str">
        <f>I15</f>
        <v>Equipe 1</v>
      </c>
      <c r="G46" s="371" t="s">
        <v>113</v>
      </c>
      <c r="H46" s="352"/>
      <c r="I46" s="385"/>
    </row>
    <row r="47" spans="1:11" ht="15" customHeight="1">
      <c r="A47" s="266"/>
      <c r="B47" s="267"/>
      <c r="C47" s="268"/>
      <c r="D47" s="385"/>
      <c r="E47" s="373"/>
      <c r="F47" s="370" t="str">
        <f>I18</f>
        <v>Equipe 4</v>
      </c>
      <c r="G47" s="374" t="str">
        <f>I23</f>
        <v>Directeur de tournoi</v>
      </c>
      <c r="H47" s="352"/>
      <c r="I47" s="385"/>
    </row>
    <row r="48" spans="1:11" ht="15" customHeight="1">
      <c r="A48" s="396"/>
      <c r="B48" s="396"/>
      <c r="C48" s="396"/>
      <c r="D48" s="385"/>
      <c r="E48" s="377"/>
      <c r="F48" s="390"/>
      <c r="G48" s="393"/>
      <c r="H48" s="352"/>
      <c r="I48" s="385"/>
    </row>
    <row r="49" spans="1:9" ht="15" customHeight="1">
      <c r="A49" s="397" t="s">
        <v>114</v>
      </c>
      <c r="B49" s="397"/>
      <c r="C49" s="397"/>
      <c r="D49" s="397"/>
      <c r="E49" s="397"/>
      <c r="F49" s="397"/>
      <c r="G49" s="397"/>
      <c r="H49" s="352"/>
      <c r="I49" s="394"/>
    </row>
    <row r="50" spans="1:9" ht="15" customHeight="1">
      <c r="A50" s="397"/>
      <c r="B50" s="397"/>
      <c r="C50" s="397"/>
      <c r="D50" s="397"/>
      <c r="E50" s="397"/>
      <c r="F50" s="397"/>
      <c r="G50" s="397"/>
      <c r="H50" s="352"/>
      <c r="I50" s="394"/>
    </row>
    <row r="51" spans="1:9" ht="15" customHeight="1">
      <c r="A51" s="397"/>
      <c r="B51" s="397"/>
      <c r="C51" s="397"/>
      <c r="D51" s="397"/>
      <c r="E51" s="397"/>
      <c r="F51" s="397"/>
      <c r="G51" s="397"/>
      <c r="H51" s="352"/>
      <c r="I51" s="394"/>
    </row>
    <row r="52" spans="1:9" ht="15" customHeight="1">
      <c r="I52" s="394"/>
    </row>
    <row r="53" spans="1:9" ht="15" customHeight="1">
      <c r="C53" s="231" t="s">
        <v>464</v>
      </c>
      <c r="D53" s="232"/>
      <c r="E53" s="232"/>
      <c r="F53" s="233"/>
      <c r="G53" s="399"/>
      <c r="I53" s="394"/>
    </row>
    <row r="54" spans="1:9" ht="15" customHeight="1">
      <c r="C54" s="234" t="s">
        <v>465</v>
      </c>
      <c r="D54" s="235"/>
      <c r="E54" s="235"/>
      <c r="F54" s="236"/>
      <c r="G54" s="399"/>
      <c r="I54" s="394"/>
    </row>
    <row r="55" spans="1:9" ht="15" customHeight="1">
      <c r="E55" s="353"/>
      <c r="I55" s="394"/>
    </row>
    <row r="56" spans="1:9" ht="15" customHeight="1">
      <c r="E56" s="353"/>
      <c r="I56" s="394"/>
    </row>
    <row r="57" spans="1:9" ht="30" customHeight="1">
      <c r="A57" s="351" t="s">
        <v>444</v>
      </c>
      <c r="B57" s="351"/>
      <c r="C57" s="351"/>
      <c r="D57" s="351"/>
      <c r="E57" s="351"/>
      <c r="F57" s="351"/>
      <c r="G57" s="351"/>
      <c r="I57" s="394"/>
    </row>
    <row r="58" spans="1:9" ht="30" customHeight="1">
      <c r="A58" s="354" t="s">
        <v>426</v>
      </c>
      <c r="B58" s="354"/>
      <c r="C58" s="354"/>
      <c r="D58" s="354"/>
      <c r="E58" s="354"/>
      <c r="F58" s="354"/>
      <c r="G58" s="354"/>
      <c r="I58" s="394"/>
    </row>
    <row r="59" spans="1:9" ht="30" customHeight="1">
      <c r="A59" s="354" t="s">
        <v>427</v>
      </c>
      <c r="B59" s="354"/>
      <c r="C59" s="354"/>
      <c r="D59" s="354"/>
      <c r="E59" s="354"/>
      <c r="F59" s="354"/>
      <c r="G59" s="354"/>
    </row>
    <row r="60" spans="1:9" ht="30" customHeight="1">
      <c r="A60" s="354" t="s">
        <v>428</v>
      </c>
      <c r="B60" s="354"/>
      <c r="C60" s="354"/>
      <c r="D60" s="354"/>
      <c r="E60" s="354"/>
      <c r="F60" s="354"/>
      <c r="G60" s="354"/>
    </row>
    <row r="61" spans="1:9" ht="15" customHeight="1">
      <c r="A61" s="355"/>
      <c r="B61" s="355"/>
      <c r="C61" s="355"/>
      <c r="D61" s="356"/>
      <c r="E61" s="355"/>
      <c r="F61" s="355"/>
      <c r="G61" s="355"/>
    </row>
    <row r="62" spans="1:9" ht="15" customHeight="1">
      <c r="A62" s="400" t="e">
        <f>I71&amp;" ("&amp;N71&amp;")"</f>
        <v>#N/A</v>
      </c>
      <c r="B62" s="401"/>
      <c r="C62" s="402"/>
      <c r="D62" s="356"/>
      <c r="E62" s="400" t="e">
        <f>I75&amp;" ("&amp;N75&amp;")"</f>
        <v>#N/A</v>
      </c>
      <c r="F62" s="401"/>
      <c r="G62" s="402"/>
    </row>
    <row r="63" spans="1:9" ht="15" customHeight="1">
      <c r="A63" s="400" t="e">
        <f>I72&amp;" ("&amp;N72&amp;")"</f>
        <v>#N/A</v>
      </c>
      <c r="B63" s="401"/>
      <c r="C63" s="402"/>
      <c r="D63" s="356"/>
      <c r="E63" s="400" t="e">
        <f>I76&amp;" ("&amp;N76&amp;")"</f>
        <v>#N/A</v>
      </c>
      <c r="F63" s="401"/>
      <c r="G63" s="402"/>
    </row>
    <row r="64" spans="1:9" ht="15" customHeight="1">
      <c r="A64" s="400" t="e">
        <f>I73&amp;" ("&amp;N73&amp;")"</f>
        <v>#N/A</v>
      </c>
      <c r="B64" s="401"/>
      <c r="C64" s="402"/>
      <c r="D64" s="356"/>
      <c r="E64" s="400" t="e">
        <f>I77&amp;" ("&amp;N77&amp;")"</f>
        <v>#N/A</v>
      </c>
      <c r="F64" s="401"/>
      <c r="G64" s="402"/>
    </row>
    <row r="65" spans="1:14" ht="15" customHeight="1">
      <c r="A65" s="400" t="e">
        <f>I74&amp;" ("&amp;N74&amp;")"</f>
        <v>#N/A</v>
      </c>
      <c r="B65" s="401"/>
      <c r="C65" s="402"/>
      <c r="D65" s="356"/>
      <c r="E65" s="400" t="e">
        <f>I78&amp;" ("&amp;N78&amp;")"</f>
        <v>#N/A</v>
      </c>
      <c r="F65" s="401"/>
      <c r="G65" s="402"/>
    </row>
    <row r="66" spans="1:14" ht="15" customHeight="1">
      <c r="A66" s="359"/>
      <c r="B66" s="359"/>
      <c r="C66" s="359"/>
      <c r="D66" s="359"/>
      <c r="E66" s="360"/>
      <c r="F66" s="359"/>
      <c r="G66" s="359"/>
    </row>
    <row r="67" spans="1:14" ht="15" customHeight="1">
      <c r="A67" s="361" t="s">
        <v>22</v>
      </c>
      <c r="B67" s="362"/>
      <c r="C67" s="363"/>
      <c r="D67" s="364"/>
      <c r="E67" s="361" t="s">
        <v>23</v>
      </c>
      <c r="F67" s="362"/>
      <c r="G67" s="363"/>
    </row>
    <row r="68" spans="1:14" ht="15" customHeight="1">
      <c r="A68" s="364"/>
      <c r="B68" s="366"/>
      <c r="C68" s="366"/>
      <c r="D68" s="364"/>
      <c r="E68" s="367"/>
      <c r="F68" s="366"/>
      <c r="G68" s="366"/>
    </row>
    <row r="69" spans="1:14" ht="15" customHeight="1">
      <c r="A69" s="368" t="s">
        <v>37</v>
      </c>
      <c r="B69" s="361" t="s">
        <v>77</v>
      </c>
      <c r="C69" s="363"/>
      <c r="D69" s="352"/>
      <c r="E69" s="403" t="s">
        <v>201</v>
      </c>
      <c r="F69" s="370" t="str">
        <f>'Résultats à 8'!I25</f>
        <v>7e</v>
      </c>
      <c r="G69" s="371" t="s">
        <v>113</v>
      </c>
    </row>
    <row r="70" spans="1:14" ht="15" customHeight="1">
      <c r="A70" s="364"/>
      <c r="B70" s="366"/>
      <c r="C70" s="366"/>
      <c r="D70" s="352"/>
      <c r="E70" s="404" t="s">
        <v>445</v>
      </c>
      <c r="F70" s="370" t="str">
        <f>'Résultats à 8'!H25</f>
        <v>6e</v>
      </c>
      <c r="G70" s="374" t="str">
        <f>'Résultats à 8'!C25</f>
        <v>4e</v>
      </c>
    </row>
    <row r="71" spans="1:14" ht="15" customHeight="1">
      <c r="A71" s="375" t="s">
        <v>24</v>
      </c>
      <c r="B71" s="376" t="str">
        <f>I76</f>
        <v>Equipe 6</v>
      </c>
      <c r="C71" s="371" t="s">
        <v>113</v>
      </c>
      <c r="D71" s="352"/>
      <c r="E71" s="377"/>
      <c r="F71" s="378"/>
      <c r="G71" s="379"/>
      <c r="I71" s="380" t="s">
        <v>429</v>
      </c>
      <c r="J71" s="381">
        <f>COUNTIF(B71:B93,I71)+COUNTIF(F69:F92,I71)</f>
        <v>2</v>
      </c>
      <c r="K71" s="381">
        <f>COUNTIF(B71:B93,I71)</f>
        <v>2</v>
      </c>
      <c r="L71" s="381">
        <f>COUNTIF(F69:F92,I71)</f>
        <v>0</v>
      </c>
      <c r="M71" s="381">
        <f>COUNTIF(C71:C93,I71)+COUNTIF(G69:G92,I71)</f>
        <v>1</v>
      </c>
      <c r="N71" s="382" t="e">
        <f>VLOOKUP(I71,'[2]club-ville'!A:B,2,FALSE)</f>
        <v>#N/A</v>
      </c>
    </row>
    <row r="72" spans="1:14" ht="15" customHeight="1">
      <c r="A72" s="383"/>
      <c r="B72" s="376" t="str">
        <f>I77</f>
        <v>Equipe 7</v>
      </c>
      <c r="C72" s="374" t="str">
        <f>I23</f>
        <v>Directeur de tournoi</v>
      </c>
      <c r="D72" s="352"/>
      <c r="E72" s="403" t="s">
        <v>446</v>
      </c>
      <c r="F72" s="370" t="str">
        <f>'Résultats à 8'!G25</f>
        <v>8e</v>
      </c>
      <c r="G72" s="371" t="s">
        <v>113</v>
      </c>
      <c r="I72" s="380" t="s">
        <v>430</v>
      </c>
      <c r="J72" s="381">
        <f>COUNTIF(B71:B93,I72)+COUNTIF(F69:F92,I72)</f>
        <v>2</v>
      </c>
      <c r="K72" s="381">
        <f>COUNTIF(B71:B93,I72)</f>
        <v>2</v>
      </c>
      <c r="L72" s="381">
        <f>COUNTIF(F69:F92,I72)</f>
        <v>0</v>
      </c>
      <c r="M72" s="381">
        <f>COUNTIF(C71:C93,I72)+COUNTIF(G69:G92,I72)</f>
        <v>1</v>
      </c>
      <c r="N72" s="382" t="e">
        <f>VLOOKUP(I72,'[2]club-ville'!A:B,2,FALSE)</f>
        <v>#N/A</v>
      </c>
    </row>
    <row r="73" spans="1:14" ht="15" customHeight="1">
      <c r="A73" s="352"/>
      <c r="B73" s="378"/>
      <c r="C73" s="384"/>
      <c r="D73" s="385"/>
      <c r="E73" s="404" t="s">
        <v>447</v>
      </c>
      <c r="F73" s="370" t="str">
        <f>'Résultats à 8'!F25</f>
        <v>5e</v>
      </c>
      <c r="G73" s="374" t="str">
        <f>'Résultats à 8'!B25</f>
        <v>1er</v>
      </c>
      <c r="I73" s="380" t="s">
        <v>431</v>
      </c>
      <c r="J73" s="381">
        <f>COUNTIF(B71:B93,I73)+COUNTIF(F69:F92,I73)</f>
        <v>2</v>
      </c>
      <c r="K73" s="381">
        <f>COUNTIF(B71:B93,I73)</f>
        <v>2</v>
      </c>
      <c r="L73" s="381">
        <f>COUNTIF(F69:F92,I73)</f>
        <v>0</v>
      </c>
      <c r="M73" s="381">
        <f>COUNTIF(C71:C93,I73)+COUNTIF(G69:G92,I73)</f>
        <v>1</v>
      </c>
      <c r="N73" s="382" t="e">
        <f>VLOOKUP(I73,'[2]club-ville'!A:B,2,FALSE)</f>
        <v>#N/A</v>
      </c>
    </row>
    <row r="74" spans="1:14" ht="15" customHeight="1">
      <c r="A74" s="375" t="s">
        <v>393</v>
      </c>
      <c r="B74" s="370" t="str">
        <f>I74</f>
        <v>Equipe 4</v>
      </c>
      <c r="C74" s="371" t="s">
        <v>113</v>
      </c>
      <c r="D74" s="352"/>
      <c r="E74" s="377"/>
      <c r="F74" s="378"/>
      <c r="G74" s="379"/>
      <c r="I74" s="380" t="s">
        <v>432</v>
      </c>
      <c r="J74" s="381">
        <f>COUNTIF(B71:B93,I74)+COUNTIF(F69:F92,I74)</f>
        <v>2</v>
      </c>
      <c r="K74" s="381">
        <f>COUNTIF(B71:B93,I74)</f>
        <v>2</v>
      </c>
      <c r="L74" s="381">
        <f>COUNTIF(F69:F92,I74)</f>
        <v>0</v>
      </c>
      <c r="M74" s="381">
        <f>COUNTIF(C71:C93,I74)+COUNTIF(G69:G92,I74)</f>
        <v>1</v>
      </c>
      <c r="N74" s="382" t="e">
        <f>VLOOKUP(I74,'[2]club-ville'!A:B,2,FALSE)</f>
        <v>#N/A</v>
      </c>
    </row>
    <row r="75" spans="1:14" ht="15" customHeight="1">
      <c r="A75" s="383"/>
      <c r="B75" s="370" t="str">
        <f>I78</f>
        <v>Equipe 8</v>
      </c>
      <c r="C75" s="374" t="str">
        <f>I76</f>
        <v>Equipe 6</v>
      </c>
      <c r="D75" s="352"/>
      <c r="E75" s="403" t="s">
        <v>448</v>
      </c>
      <c r="F75" s="370" t="str">
        <f>'Résultats à 8'!E25</f>
        <v>3e</v>
      </c>
      <c r="G75" s="371" t="s">
        <v>113</v>
      </c>
      <c r="I75" s="380" t="s">
        <v>433</v>
      </c>
      <c r="J75" s="381">
        <f>COUNTIF(B71:B93,I75)+COUNTIF(F69:F92,I75)</f>
        <v>2</v>
      </c>
      <c r="K75" s="381">
        <f>COUNTIF(B71:B93,I75)</f>
        <v>2</v>
      </c>
      <c r="L75" s="381">
        <f>COUNTIF(F69:F92,I75)</f>
        <v>0</v>
      </c>
      <c r="M75" s="381">
        <f>COUNTIF(C71:C93,I75)+COUNTIF(G69:G92,I75)</f>
        <v>0</v>
      </c>
      <c r="N75" s="382" t="e">
        <f>VLOOKUP(I75,'[2]club-ville'!A:B,2,FALSE)</f>
        <v>#N/A</v>
      </c>
    </row>
    <row r="76" spans="1:14" ht="15" customHeight="1">
      <c r="A76" s="352"/>
      <c r="B76" s="378"/>
      <c r="C76" s="379"/>
      <c r="D76" s="385"/>
      <c r="E76" s="404" t="s">
        <v>449</v>
      </c>
      <c r="F76" s="370" t="str">
        <f>'Résultats à 8'!D25</f>
        <v>2e</v>
      </c>
      <c r="G76" s="374" t="str">
        <f>'Résultats à 8'!I28</f>
        <v>L 1/2 n°4</v>
      </c>
      <c r="I76" s="380" t="s">
        <v>434</v>
      </c>
      <c r="J76" s="381">
        <f>COUNTIF(B71:B93,I76)+COUNTIF(F69:F92,I76)</f>
        <v>2</v>
      </c>
      <c r="K76" s="381">
        <f>COUNTIF(B71:B93,I76)</f>
        <v>2</v>
      </c>
      <c r="L76" s="381">
        <f>COUNTIF(F69:F92,I76)</f>
        <v>0</v>
      </c>
      <c r="M76" s="381">
        <f>COUNTIF(C71:C93,I76)+COUNTIF(G69:G92,I76)</f>
        <v>1</v>
      </c>
      <c r="N76" s="382" t="e">
        <f>VLOOKUP(I76,'[2]club-ville'!A:B,2,FALSE)</f>
        <v>#N/A</v>
      </c>
    </row>
    <row r="77" spans="1:14" ht="15" customHeight="1">
      <c r="A77" s="375" t="s">
        <v>395</v>
      </c>
      <c r="B77" s="370" t="str">
        <f>I72</f>
        <v>Equipe 2</v>
      </c>
      <c r="C77" s="371" t="s">
        <v>113</v>
      </c>
      <c r="D77" s="352"/>
      <c r="E77" s="377"/>
      <c r="F77" s="390"/>
      <c r="G77" s="391"/>
      <c r="I77" s="380" t="s">
        <v>443</v>
      </c>
      <c r="J77" s="381">
        <f>COUNTIF(B71:B93,I77)+COUNTIF(F69:F92,I77)</f>
        <v>2</v>
      </c>
      <c r="K77" s="381">
        <f>COUNTIF(B71:B93,I77)</f>
        <v>2</v>
      </c>
      <c r="L77" s="381">
        <f>COUNTIF(F69:F92,I77)</f>
        <v>0</v>
      </c>
      <c r="M77" s="381">
        <f>COUNTIF(C71:C93,I77)+COUNTIF(G69:G92,I77)</f>
        <v>1</v>
      </c>
      <c r="N77" s="382" t="e">
        <f>VLOOKUP(I77,'[2]club-ville'!A:B,2,FALSE)</f>
        <v>#N/A</v>
      </c>
    </row>
    <row r="78" spans="1:14" ht="15" customHeight="1">
      <c r="A78" s="383"/>
      <c r="B78" s="370" t="str">
        <f>I75</f>
        <v>Equipe 5</v>
      </c>
      <c r="C78" s="374" t="str">
        <f>I77</f>
        <v>Equipe 7</v>
      </c>
      <c r="D78" s="352"/>
      <c r="E78" s="403" t="s">
        <v>32</v>
      </c>
      <c r="F78" s="370" t="str">
        <f>'Résultats à 8'!C25</f>
        <v>4e</v>
      </c>
      <c r="G78" s="371" t="s">
        <v>113</v>
      </c>
      <c r="I78" s="380" t="s">
        <v>458</v>
      </c>
      <c r="J78" s="381">
        <f>COUNTIF(B71:B93,I78)+COUNTIF(F69:F92,I78)</f>
        <v>2</v>
      </c>
      <c r="K78" s="381">
        <f>COUNTIF(B71:B93,I78)</f>
        <v>2</v>
      </c>
      <c r="L78" s="381">
        <f>COUNTIF(F69:F92,I78)</f>
        <v>0</v>
      </c>
      <c r="M78" s="381">
        <f>COUNTIF(C71:C93,I78)+COUNTIF(G69:G92,I78)</f>
        <v>1</v>
      </c>
      <c r="N78" s="382" t="e">
        <f>VLOOKUP(I78,'[2]club-ville'!A:B,2,FALSE)</f>
        <v>#N/A</v>
      </c>
    </row>
    <row r="79" spans="1:14" ht="15" customHeight="1">
      <c r="A79" s="352"/>
      <c r="B79" s="378"/>
      <c r="C79" s="379"/>
      <c r="D79" s="385"/>
      <c r="E79" s="404" t="s">
        <v>450</v>
      </c>
      <c r="F79" s="370" t="str">
        <f>'Résultats à 8'!B25</f>
        <v>1er</v>
      </c>
      <c r="G79" s="374" t="str">
        <f>'Résultats à 8'!H28</f>
        <v>L 1/2 n°3</v>
      </c>
      <c r="I79" s="386" t="s">
        <v>30</v>
      </c>
      <c r="J79" s="381"/>
      <c r="K79" s="381"/>
      <c r="L79" s="381"/>
      <c r="M79" s="381">
        <f>COUNTIF(C71:C93,I79)+COUNTIF(G69:G92,I79)</f>
        <v>2</v>
      </c>
    </row>
    <row r="80" spans="1:14" ht="15" customHeight="1">
      <c r="A80" s="375" t="s">
        <v>153</v>
      </c>
      <c r="B80" s="370" t="str">
        <f>I71</f>
        <v>Equipe 1</v>
      </c>
      <c r="C80" s="371" t="s">
        <v>113</v>
      </c>
      <c r="D80" s="352"/>
      <c r="E80" s="377"/>
      <c r="F80" s="378"/>
      <c r="G80" s="379"/>
    </row>
    <row r="81" spans="1:7" ht="15" customHeight="1">
      <c r="A81" s="383"/>
      <c r="B81" s="370" t="str">
        <f>I73</f>
        <v>Equipe 3</v>
      </c>
      <c r="C81" s="374" t="str">
        <f>I74</f>
        <v>Equipe 4</v>
      </c>
      <c r="D81" s="352"/>
      <c r="E81" s="403" t="s">
        <v>235</v>
      </c>
      <c r="F81" s="370" t="str">
        <f>'Résultats à 8'!I28</f>
        <v>L 1/2 n°4</v>
      </c>
      <c r="G81" s="371" t="s">
        <v>113</v>
      </c>
    </row>
    <row r="82" spans="1:7" ht="15" customHeight="1">
      <c r="A82" s="352"/>
      <c r="B82" s="378"/>
      <c r="C82" s="379"/>
      <c r="D82" s="385"/>
      <c r="E82" s="404" t="s">
        <v>179</v>
      </c>
      <c r="F82" s="370" t="str">
        <f>'Résultats à 8'!H28</f>
        <v>L 1/2 n°3</v>
      </c>
      <c r="G82" s="374" t="str">
        <f>'Résultats à 8'!E28</f>
        <v>L 1/2 n°2</v>
      </c>
    </row>
    <row r="83" spans="1:7" ht="15" customHeight="1">
      <c r="A83" s="375" t="s">
        <v>397</v>
      </c>
      <c r="B83" s="370" t="str">
        <f>I77</f>
        <v>Equipe 7</v>
      </c>
      <c r="C83" s="371" t="s">
        <v>113</v>
      </c>
      <c r="D83" s="352"/>
      <c r="E83" s="377"/>
      <c r="F83" s="390"/>
      <c r="G83" s="391"/>
    </row>
    <row r="84" spans="1:7" ht="15" customHeight="1">
      <c r="A84" s="383"/>
      <c r="B84" s="370" t="str">
        <f>I78</f>
        <v>Equipe 8</v>
      </c>
      <c r="C84" s="374" t="str">
        <f>I72</f>
        <v>Equipe 2</v>
      </c>
      <c r="D84" s="352"/>
      <c r="E84" s="403" t="s">
        <v>451</v>
      </c>
      <c r="F84" s="370" t="str">
        <f>'Résultats à 8'!G28</f>
        <v>W 1/2 n°4</v>
      </c>
      <c r="G84" s="371" t="s">
        <v>113</v>
      </c>
    </row>
    <row r="85" spans="1:7" ht="15" customHeight="1">
      <c r="A85" s="352"/>
      <c r="B85" s="378"/>
      <c r="C85" s="379"/>
      <c r="D85" s="385"/>
      <c r="E85" s="404" t="s">
        <v>178</v>
      </c>
      <c r="F85" s="370" t="str">
        <f>'Résultats à 8'!F28</f>
        <v>W 1/2 n°3</v>
      </c>
      <c r="G85" s="374" t="str">
        <f>'Résultats à 8'!D28</f>
        <v>L 1/2 n°1</v>
      </c>
    </row>
    <row r="86" spans="1:7" ht="15" customHeight="1">
      <c r="A86" s="375" t="s">
        <v>399</v>
      </c>
      <c r="B86" s="370" t="str">
        <f>I75</f>
        <v>Equipe 5</v>
      </c>
      <c r="C86" s="371" t="s">
        <v>113</v>
      </c>
      <c r="D86" s="352"/>
      <c r="E86" s="377"/>
      <c r="F86" s="378"/>
      <c r="G86" s="379"/>
    </row>
    <row r="87" spans="1:7" ht="15" customHeight="1">
      <c r="A87" s="383"/>
      <c r="B87" s="370" t="str">
        <f>I76</f>
        <v>Equipe 6</v>
      </c>
      <c r="C87" s="387" t="str">
        <f>I71</f>
        <v>Equipe 1</v>
      </c>
      <c r="D87" s="352"/>
      <c r="E87" s="403" t="s">
        <v>452</v>
      </c>
      <c r="F87" s="370" t="str">
        <f>'Résultats à 8'!E28</f>
        <v>L 1/2 n°2</v>
      </c>
      <c r="G87" s="371" t="s">
        <v>113</v>
      </c>
    </row>
    <row r="88" spans="1:7" ht="15" customHeight="1">
      <c r="A88" s="352"/>
      <c r="B88" s="388"/>
      <c r="C88" s="389"/>
      <c r="D88" s="385"/>
      <c r="E88" s="404" t="s">
        <v>177</v>
      </c>
      <c r="F88" s="370" t="str">
        <f>'Résultats à 8'!D28</f>
        <v>L 1/2 n°1</v>
      </c>
      <c r="G88" s="374" t="str">
        <f>'Résultats à 8'!C39</f>
        <v>8e D3ZA</v>
      </c>
    </row>
    <row r="89" spans="1:7" ht="15" customHeight="1">
      <c r="A89" s="375" t="s">
        <v>391</v>
      </c>
      <c r="B89" s="370" t="str">
        <f>I73</f>
        <v>Equipe 3</v>
      </c>
      <c r="C89" s="371" t="s">
        <v>113</v>
      </c>
      <c r="D89" s="385"/>
      <c r="E89" s="377"/>
      <c r="F89" s="378"/>
      <c r="G89" s="379"/>
    </row>
    <row r="90" spans="1:7" ht="15" customHeight="1">
      <c r="A90" s="383"/>
      <c r="B90" s="370" t="str">
        <f>I74</f>
        <v>Equipe 4</v>
      </c>
      <c r="C90" s="374" t="str">
        <f>I78</f>
        <v>Equipe 8</v>
      </c>
      <c r="D90" s="385"/>
      <c r="E90" s="403" t="s">
        <v>453</v>
      </c>
      <c r="F90" s="370" t="str">
        <f>'Résultats à 8'!C28</f>
        <v>W 1/2 n°2</v>
      </c>
      <c r="G90" s="371" t="s">
        <v>113</v>
      </c>
    </row>
    <row r="91" spans="1:7" ht="15" customHeight="1">
      <c r="A91" s="352"/>
      <c r="B91" s="388"/>
      <c r="C91" s="392"/>
      <c r="D91" s="385"/>
      <c r="E91" s="404" t="s">
        <v>176</v>
      </c>
      <c r="F91" s="370" t="str">
        <f>'Résultats à 8'!B28</f>
        <v>W 1/2 n°1</v>
      </c>
      <c r="G91" s="374" t="str">
        <f>I23</f>
        <v>Directeur de tournoi</v>
      </c>
    </row>
    <row r="92" spans="1:7" ht="15" customHeight="1">
      <c r="A92" s="375" t="s">
        <v>400</v>
      </c>
      <c r="B92" s="370" t="str">
        <f>I71</f>
        <v>Equipe 1</v>
      </c>
      <c r="C92" s="371" t="s">
        <v>113</v>
      </c>
      <c r="D92" s="385"/>
      <c r="E92" s="377"/>
      <c r="F92" s="390"/>
      <c r="G92" s="393"/>
    </row>
    <row r="93" spans="1:7" ht="15" customHeight="1">
      <c r="A93" s="383"/>
      <c r="B93" s="370" t="str">
        <f>I72</f>
        <v>Equipe 2</v>
      </c>
      <c r="C93" s="374" t="str">
        <f>I73</f>
        <v>Equipe 3</v>
      </c>
      <c r="D93" s="385"/>
    </row>
    <row r="94" spans="1:7" ht="15" customHeight="1">
      <c r="A94" s="352"/>
      <c r="B94" s="390"/>
      <c r="C94" s="393"/>
      <c r="D94" s="385"/>
    </row>
    <row r="95" spans="1:7" ht="15" customHeight="1">
      <c r="A95" s="352"/>
      <c r="B95" s="390"/>
      <c r="C95" s="393"/>
      <c r="D95" s="385"/>
    </row>
    <row r="96" spans="1:7" ht="15" customHeight="1">
      <c r="A96" s="352"/>
      <c r="B96" s="390"/>
      <c r="C96" s="393"/>
      <c r="D96" s="385"/>
    </row>
    <row r="97" spans="1:7" ht="15" customHeight="1">
      <c r="A97" s="352"/>
      <c r="B97" s="390"/>
      <c r="C97" s="393"/>
      <c r="D97" s="385"/>
    </row>
    <row r="98" spans="1:7" ht="15" customHeight="1">
      <c r="A98" s="352"/>
      <c r="B98" s="352"/>
      <c r="C98" s="352"/>
      <c r="D98" s="352"/>
    </row>
    <row r="99" spans="1:7" ht="15" customHeight="1">
      <c r="A99" s="405" t="s">
        <v>468</v>
      </c>
      <c r="B99" s="406"/>
      <c r="C99" s="407"/>
      <c r="D99" s="352"/>
    </row>
    <row r="100" spans="1:7" ht="15" customHeight="1">
      <c r="A100" s="408"/>
      <c r="B100" s="409"/>
      <c r="C100" s="410"/>
      <c r="D100" s="385"/>
    </row>
    <row r="101" spans="1:7" ht="15" customHeight="1">
      <c r="A101" s="408"/>
      <c r="B101" s="409"/>
      <c r="C101" s="410"/>
      <c r="D101" s="352"/>
    </row>
    <row r="102" spans="1:7" ht="15" customHeight="1">
      <c r="A102" s="408"/>
      <c r="B102" s="409"/>
      <c r="C102" s="410"/>
      <c r="D102" s="352"/>
    </row>
    <row r="103" spans="1:7" ht="15" customHeight="1">
      <c r="A103" s="411"/>
      <c r="B103" s="412"/>
      <c r="C103" s="413"/>
      <c r="D103" s="385"/>
    </row>
    <row r="104" spans="1:7" ht="15" customHeight="1">
      <c r="A104" s="396"/>
      <c r="B104" s="396"/>
      <c r="C104" s="396"/>
      <c r="D104" s="385"/>
      <c r="E104" s="377"/>
      <c r="F104" s="390"/>
      <c r="G104" s="393"/>
    </row>
    <row r="105" spans="1:7" ht="15" customHeight="1">
      <c r="A105" s="397" t="s">
        <v>114</v>
      </c>
      <c r="B105" s="397"/>
      <c r="C105" s="397"/>
      <c r="D105" s="397"/>
      <c r="E105" s="397"/>
      <c r="F105" s="397"/>
      <c r="G105" s="397"/>
    </row>
    <row r="106" spans="1:7" ht="15" customHeight="1">
      <c r="A106" s="397"/>
      <c r="B106" s="397"/>
      <c r="C106" s="397"/>
      <c r="D106" s="397"/>
      <c r="E106" s="397"/>
      <c r="F106" s="397"/>
      <c r="G106" s="397"/>
    </row>
    <row r="107" spans="1:7" ht="15" customHeight="1">
      <c r="A107" s="397"/>
      <c r="B107" s="397"/>
      <c r="C107" s="397"/>
      <c r="D107" s="397"/>
      <c r="E107" s="397"/>
      <c r="F107" s="397"/>
      <c r="G107" s="397"/>
    </row>
    <row r="108" spans="1:7" ht="15" customHeight="1"/>
    <row r="109" spans="1:7" ht="15" customHeight="1">
      <c r="C109" s="231" t="s">
        <v>464</v>
      </c>
      <c r="D109" s="232"/>
      <c r="E109" s="232"/>
      <c r="F109" s="233"/>
      <c r="G109" s="399"/>
    </row>
    <row r="110" spans="1:7" ht="15" customHeight="1">
      <c r="C110" s="234" t="s">
        <v>465</v>
      </c>
      <c r="D110" s="235"/>
      <c r="E110" s="235"/>
      <c r="F110" s="236"/>
      <c r="G110" s="399"/>
    </row>
    <row r="111" spans="1:7" ht="15" customHeight="1"/>
    <row r="112" spans="1: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mergeCells count="70">
    <mergeCell ref="C110:F110"/>
    <mergeCell ref="A86:A87"/>
    <mergeCell ref="A89:A90"/>
    <mergeCell ref="A92:A93"/>
    <mergeCell ref="A99:C103"/>
    <mergeCell ref="A105:G107"/>
    <mergeCell ref="C109:F109"/>
    <mergeCell ref="A83:A84"/>
    <mergeCell ref="A64:C64"/>
    <mergeCell ref="E64:G64"/>
    <mergeCell ref="A65:C65"/>
    <mergeCell ref="E65:G65"/>
    <mergeCell ref="A67:C67"/>
    <mergeCell ref="E67:G67"/>
    <mergeCell ref="B69:C69"/>
    <mergeCell ref="A71:A72"/>
    <mergeCell ref="A74:A75"/>
    <mergeCell ref="A77:A78"/>
    <mergeCell ref="A80:A81"/>
    <mergeCell ref="A63:C63"/>
    <mergeCell ref="E63:G63"/>
    <mergeCell ref="A49:G51"/>
    <mergeCell ref="C53:F53"/>
    <mergeCell ref="C54:F54"/>
    <mergeCell ref="A57:G57"/>
    <mergeCell ref="A58:G58"/>
    <mergeCell ref="A59:G59"/>
    <mergeCell ref="A60:G60"/>
    <mergeCell ref="A61:C61"/>
    <mergeCell ref="E61:G61"/>
    <mergeCell ref="A62:C62"/>
    <mergeCell ref="E62:G62"/>
    <mergeCell ref="A43:C47"/>
    <mergeCell ref="E43:E44"/>
    <mergeCell ref="E46:E47"/>
    <mergeCell ref="A24:A25"/>
    <mergeCell ref="E25:E26"/>
    <mergeCell ref="A27:A28"/>
    <mergeCell ref="E28:E29"/>
    <mergeCell ref="A30:A31"/>
    <mergeCell ref="E31:E32"/>
    <mergeCell ref="A33:A34"/>
    <mergeCell ref="E34:E35"/>
    <mergeCell ref="A36:A37"/>
    <mergeCell ref="E37:E38"/>
    <mergeCell ref="E40:E41"/>
    <mergeCell ref="A15:A16"/>
    <mergeCell ref="E16:E17"/>
    <mergeCell ref="A18:A19"/>
    <mergeCell ref="E19:E20"/>
    <mergeCell ref="A21:A22"/>
    <mergeCell ref="E22:E23"/>
    <mergeCell ref="A9:C9"/>
    <mergeCell ref="E9:G9"/>
    <mergeCell ref="A11:C11"/>
    <mergeCell ref="E11:G11"/>
    <mergeCell ref="B13:C13"/>
    <mergeCell ref="E13:E14"/>
    <mergeCell ref="A6:C6"/>
    <mergeCell ref="E6:G6"/>
    <mergeCell ref="A7:C7"/>
    <mergeCell ref="E7:G7"/>
    <mergeCell ref="A8:C8"/>
    <mergeCell ref="E8:G8"/>
    <mergeCell ref="A1:G1"/>
    <mergeCell ref="A2:G2"/>
    <mergeCell ref="A3:G3"/>
    <mergeCell ref="A4:G4"/>
    <mergeCell ref="A5:C5"/>
    <mergeCell ref="E5:G5"/>
  </mergeCells>
  <printOptions horizontalCentered="1" verticalCentered="1"/>
  <pageMargins left="0.39370078740157483" right="0.39370078740157483" top="0.39370078740157483" bottom="0.39370078740157483" header="0.39370078740157483" footer="0.59055118110236227"/>
  <pageSetup paperSize="9" scale="92" fitToHeight="2" orientation="portrait" r:id="rId1"/>
  <headerFooter alignWithMargins="0">
    <oddHeader>&amp;R&amp;G</oddHeader>
    <oddFooter>&amp;C&amp;8© 2017 - Fédération Flying Disc France&amp;R&amp;8&amp;D</oddFooter>
  </headerFooter>
  <rowBreaks count="1" manualBreakCount="1">
    <brk id="56" max="6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40"/>
  <sheetViews>
    <sheetView view="pageBreakPreview" zoomScaleNormal="100" zoomScaleSheetLayoutView="100" workbookViewId="0">
      <selection activeCell="K41" sqref="K41"/>
    </sheetView>
  </sheetViews>
  <sheetFormatPr baseColWidth="10" defaultRowHeight="13.2" outlineLevelRow="1"/>
  <cols>
    <col min="1" max="1" width="16.77734375" style="16" customWidth="1"/>
    <col min="2" max="18" width="8.77734375" style="16" customWidth="1"/>
    <col min="19" max="19" width="3.21875" style="16" bestFit="1" customWidth="1"/>
    <col min="20" max="20" width="3.109375" style="16" bestFit="1" customWidth="1"/>
    <col min="21" max="28" width="11.5546875" style="16"/>
    <col min="29" max="29" width="5.6640625" style="16" customWidth="1"/>
    <col min="30" max="30" width="2.6640625" style="16" bestFit="1" customWidth="1"/>
    <col min="31" max="31" width="2.33203125" style="16" bestFit="1" customWidth="1"/>
    <col min="32" max="16384" width="11.5546875" style="16"/>
  </cols>
  <sheetData>
    <row r="1" spans="1:21" s="152" customFormat="1" ht="18">
      <c r="A1" s="149"/>
      <c r="B1" s="150" t="s">
        <v>454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152" customFormat="1" ht="17.399999999999999">
      <c r="A2" s="188" t="s">
        <v>459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51"/>
    </row>
    <row r="3" spans="1:21" s="155" customFormat="1">
      <c r="A3" s="152"/>
      <c r="B3" s="30" t="s">
        <v>406</v>
      </c>
      <c r="C3" s="190" t="str">
        <f>A4</f>
        <v>Equipe 1</v>
      </c>
      <c r="D3" s="190"/>
      <c r="E3" s="190" t="str">
        <f>A5</f>
        <v>Equipe 2</v>
      </c>
      <c r="F3" s="190"/>
      <c r="G3" s="190" t="str">
        <f>A6</f>
        <v>Equipe 3</v>
      </c>
      <c r="H3" s="190"/>
      <c r="I3" s="190" t="str">
        <f>A7</f>
        <v>Equipe 4</v>
      </c>
      <c r="J3" s="190"/>
      <c r="K3" s="190" t="str">
        <f>A8</f>
        <v>Equipe 5</v>
      </c>
      <c r="L3" s="190"/>
      <c r="M3" s="190" t="str">
        <f>A9</f>
        <v>Equipe 6</v>
      </c>
      <c r="N3" s="190"/>
      <c r="O3" s="190" t="str">
        <f>A10</f>
        <v>Equipe 7</v>
      </c>
      <c r="P3" s="190"/>
      <c r="Q3" s="190" t="str">
        <f>A11</f>
        <v>Equipe 8</v>
      </c>
      <c r="R3" s="190"/>
      <c r="S3" s="153" t="s">
        <v>167</v>
      </c>
      <c r="T3" s="154" t="s">
        <v>168</v>
      </c>
    </row>
    <row r="4" spans="1:21" s="17" customFormat="1" outlineLevel="1">
      <c r="A4" s="169" t="str">
        <f>'Planning à 8'!I15</f>
        <v>Equipe 1</v>
      </c>
      <c r="B4" s="159"/>
      <c r="C4" s="160"/>
      <c r="D4" s="160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21">
        <f>IF(C4&gt;D4,1,0)+IF(E4&gt;F4,1,0)+IF(G4&gt;H4,1,0)+IF(I4&gt;J4,1,0)+IF(K4&gt;L4,1,0)+IF(M4&gt;N4,1,0)+IF(O4&gt;P4,1,0)+IF(Q4&gt;R4,1,0)</f>
        <v>0</v>
      </c>
      <c r="T4" s="22">
        <f>IF(C4&lt;D4,1,0)+IF(E4&lt;F4,1,0)+IF(G4&lt;H4,1,0)+IF(I4&lt;J4,1,0)+IF(K4&lt;L4,1,0)+IF(M4&lt;N4,1,0)+IF(O4&lt;P4,1,0)+IF(Q4&lt;R4,1,0)</f>
        <v>0</v>
      </c>
      <c r="U4" s="20"/>
    </row>
    <row r="5" spans="1:21" s="17" customFormat="1" outlineLevel="1">
      <c r="A5" s="169" t="str">
        <f>'Planning à 8'!I16</f>
        <v>Equipe 2</v>
      </c>
      <c r="B5" s="159"/>
      <c r="C5" s="162">
        <f>F4</f>
        <v>0</v>
      </c>
      <c r="D5" s="162">
        <f>E4</f>
        <v>0</v>
      </c>
      <c r="E5" s="163"/>
      <c r="F5" s="163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21">
        <f t="shared" ref="S5:S11" si="0">IF(C5&gt;D5,1,0)+IF(E5&gt;F5,1,0)+IF(G5&gt;H5,1,0)+IF(I5&gt;J5,1,0)+IF(K5&gt;L5,1,0)+IF(M5&gt;N5,1,0)+IF(O5&gt;P5,1,0)+IF(Q5&gt;R5,1,0)</f>
        <v>0</v>
      </c>
      <c r="T5" s="22">
        <f t="shared" ref="T5:T11" si="1">IF(C5&lt;D5,1,0)+IF(E5&lt;F5,1,0)+IF(G5&lt;H5,1,0)+IF(I5&lt;J5,1,0)+IF(K5&lt;L5,1,0)+IF(M5&lt;N5,1,0)+IF(O5&lt;P5,1,0)+IF(Q5&lt;R5,1,0)</f>
        <v>0</v>
      </c>
      <c r="U5" s="20"/>
    </row>
    <row r="6" spans="1:21" s="17" customFormat="1" outlineLevel="1">
      <c r="A6" s="169" t="str">
        <f>'Planning à 8'!I17</f>
        <v>Equipe 3</v>
      </c>
      <c r="B6" s="159"/>
      <c r="C6" s="162">
        <f>H4</f>
        <v>0</v>
      </c>
      <c r="D6" s="162">
        <f>G4</f>
        <v>0</v>
      </c>
      <c r="E6" s="162">
        <f>H5</f>
        <v>0</v>
      </c>
      <c r="F6" s="162">
        <f>G5</f>
        <v>0</v>
      </c>
      <c r="G6" s="163"/>
      <c r="H6" s="163"/>
      <c r="I6" s="161"/>
      <c r="J6" s="161"/>
      <c r="K6" s="161"/>
      <c r="L6" s="161"/>
      <c r="M6" s="161"/>
      <c r="N6" s="161"/>
      <c r="O6" s="161"/>
      <c r="P6" s="164"/>
      <c r="Q6" s="161"/>
      <c r="R6" s="161"/>
      <c r="S6" s="21">
        <f t="shared" si="0"/>
        <v>0</v>
      </c>
      <c r="T6" s="22">
        <f t="shared" si="1"/>
        <v>0</v>
      </c>
      <c r="U6" s="20"/>
    </row>
    <row r="7" spans="1:21" s="17" customFormat="1" outlineLevel="1">
      <c r="A7" s="169" t="str">
        <f>'Planning à 8'!I18</f>
        <v>Equipe 4</v>
      </c>
      <c r="B7" s="159"/>
      <c r="C7" s="162">
        <f>J4</f>
        <v>0</v>
      </c>
      <c r="D7" s="162">
        <f>I4</f>
        <v>0</v>
      </c>
      <c r="E7" s="162">
        <f>J5</f>
        <v>0</v>
      </c>
      <c r="F7" s="162">
        <f>I5</f>
        <v>0</v>
      </c>
      <c r="G7" s="162">
        <f>J6</f>
        <v>0</v>
      </c>
      <c r="H7" s="162">
        <f>I6</f>
        <v>0</v>
      </c>
      <c r="I7" s="160"/>
      <c r="J7" s="160"/>
      <c r="K7" s="161"/>
      <c r="L7" s="161"/>
      <c r="M7" s="161"/>
      <c r="N7" s="161"/>
      <c r="O7" s="161"/>
      <c r="P7" s="161"/>
      <c r="Q7" s="161"/>
      <c r="R7" s="161"/>
      <c r="S7" s="21">
        <f t="shared" si="0"/>
        <v>0</v>
      </c>
      <c r="T7" s="22">
        <f t="shared" si="1"/>
        <v>0</v>
      </c>
      <c r="U7" s="20"/>
    </row>
    <row r="8" spans="1:21" s="17" customFormat="1" outlineLevel="1">
      <c r="A8" s="169" t="str">
        <f>'Planning à 8'!I19</f>
        <v>Equipe 5</v>
      </c>
      <c r="B8" s="159"/>
      <c r="C8" s="165">
        <f>L4</f>
        <v>0</v>
      </c>
      <c r="D8" s="165">
        <f>K4</f>
        <v>0</v>
      </c>
      <c r="E8" s="162">
        <f>L5</f>
        <v>0</v>
      </c>
      <c r="F8" s="162">
        <f>K5</f>
        <v>0</v>
      </c>
      <c r="G8" s="165">
        <f>L6</f>
        <v>0</v>
      </c>
      <c r="H8" s="165">
        <f>K6</f>
        <v>0</v>
      </c>
      <c r="I8" s="162">
        <f>L7</f>
        <v>0</v>
      </c>
      <c r="J8" s="162">
        <f>K7</f>
        <v>0</v>
      </c>
      <c r="K8" s="166"/>
      <c r="L8" s="166"/>
      <c r="M8" s="167"/>
      <c r="N8" s="167"/>
      <c r="O8" s="167"/>
      <c r="P8" s="167"/>
      <c r="Q8" s="167"/>
      <c r="R8" s="167"/>
      <c r="S8" s="21">
        <f t="shared" si="0"/>
        <v>0</v>
      </c>
      <c r="T8" s="22">
        <f t="shared" si="1"/>
        <v>0</v>
      </c>
      <c r="U8" s="20"/>
    </row>
    <row r="9" spans="1:21" s="17" customFormat="1" outlineLevel="1">
      <c r="A9" s="169" t="str">
        <f>'Planning à 8'!I20</f>
        <v>Equipe 6</v>
      </c>
      <c r="B9" s="159"/>
      <c r="C9" s="165">
        <f>N4</f>
        <v>0</v>
      </c>
      <c r="D9" s="165">
        <f>M4</f>
        <v>0</v>
      </c>
      <c r="E9" s="162">
        <f>N5</f>
        <v>0</v>
      </c>
      <c r="F9" s="162">
        <f>M5</f>
        <v>0</v>
      </c>
      <c r="G9" s="165">
        <f>N6</f>
        <v>0</v>
      </c>
      <c r="H9" s="165">
        <f>M6</f>
        <v>0</v>
      </c>
      <c r="I9" s="162">
        <f>N7</f>
        <v>0</v>
      </c>
      <c r="J9" s="162">
        <f>M7</f>
        <v>0</v>
      </c>
      <c r="K9" s="162">
        <f>N8</f>
        <v>0</v>
      </c>
      <c r="L9" s="162">
        <f>M8</f>
        <v>0</v>
      </c>
      <c r="M9" s="166"/>
      <c r="N9" s="166"/>
      <c r="O9" s="167"/>
      <c r="P9" s="167"/>
      <c r="Q9" s="167"/>
      <c r="R9" s="167"/>
      <c r="S9" s="21">
        <f t="shared" si="0"/>
        <v>0</v>
      </c>
      <c r="T9" s="22">
        <f t="shared" si="1"/>
        <v>0</v>
      </c>
      <c r="U9" s="20"/>
    </row>
    <row r="10" spans="1:21" s="17" customFormat="1" outlineLevel="1">
      <c r="A10" s="169" t="str">
        <f>'Planning à 8'!I21</f>
        <v>Equipe 7</v>
      </c>
      <c r="B10" s="159"/>
      <c r="C10" s="165">
        <f>P4</f>
        <v>0</v>
      </c>
      <c r="D10" s="165">
        <f>O4</f>
        <v>0</v>
      </c>
      <c r="E10" s="162">
        <f>P5</f>
        <v>0</v>
      </c>
      <c r="F10" s="162">
        <f>O5</f>
        <v>0</v>
      </c>
      <c r="G10" s="165">
        <f>P6</f>
        <v>0</v>
      </c>
      <c r="H10" s="165">
        <f>O6</f>
        <v>0</v>
      </c>
      <c r="I10" s="162">
        <f>P7</f>
        <v>0</v>
      </c>
      <c r="J10" s="162">
        <f>O7</f>
        <v>0</v>
      </c>
      <c r="K10" s="162">
        <f>P8</f>
        <v>0</v>
      </c>
      <c r="L10" s="162">
        <f>O8</f>
        <v>0</v>
      </c>
      <c r="M10" s="162">
        <f>P9</f>
        <v>0</v>
      </c>
      <c r="N10" s="162">
        <f>O9</f>
        <v>0</v>
      </c>
      <c r="O10" s="166"/>
      <c r="P10" s="166"/>
      <c r="Q10" s="167"/>
      <c r="R10" s="167"/>
      <c r="S10" s="21">
        <f t="shared" si="0"/>
        <v>0</v>
      </c>
      <c r="T10" s="22">
        <f t="shared" si="1"/>
        <v>0</v>
      </c>
      <c r="U10" s="20"/>
    </row>
    <row r="11" spans="1:21" s="17" customFormat="1" outlineLevel="1">
      <c r="A11" s="169" t="str">
        <f>'Planning à 8'!I22</f>
        <v>Equipe 8</v>
      </c>
      <c r="B11" s="168"/>
      <c r="C11" s="165">
        <f>R4</f>
        <v>0</v>
      </c>
      <c r="D11" s="165">
        <f>Q4</f>
        <v>0</v>
      </c>
      <c r="E11" s="162">
        <f>R5</f>
        <v>0</v>
      </c>
      <c r="F11" s="162">
        <f>Q5</f>
        <v>0</v>
      </c>
      <c r="G11" s="165">
        <f>R6</f>
        <v>0</v>
      </c>
      <c r="H11" s="165">
        <f>Q6</f>
        <v>0</v>
      </c>
      <c r="I11" s="162">
        <f>R7</f>
        <v>0</v>
      </c>
      <c r="J11" s="162">
        <f>Q7</f>
        <v>0</v>
      </c>
      <c r="K11" s="162">
        <f>R8</f>
        <v>0</v>
      </c>
      <c r="L11" s="162">
        <f>Q8</f>
        <v>0</v>
      </c>
      <c r="M11" s="162">
        <f>R9</f>
        <v>0</v>
      </c>
      <c r="N11" s="162">
        <f>Q9</f>
        <v>0</v>
      </c>
      <c r="O11" s="162">
        <f>R10</f>
        <v>0</v>
      </c>
      <c r="P11" s="162">
        <f>Q10</f>
        <v>0</v>
      </c>
      <c r="Q11" s="166"/>
      <c r="R11" s="166"/>
      <c r="S11" s="21">
        <f t="shared" si="0"/>
        <v>0</v>
      </c>
      <c r="T11" s="22">
        <f t="shared" si="1"/>
        <v>0</v>
      </c>
      <c r="U11" s="20"/>
    </row>
    <row r="12" spans="1:21" s="17" customFormat="1" outlineLevel="1">
      <c r="A12" s="19"/>
      <c r="B12" s="23"/>
      <c r="C12" s="19"/>
      <c r="D12" s="23"/>
      <c r="E12" s="19"/>
      <c r="F12" s="23"/>
      <c r="G12" s="19"/>
      <c r="H12" s="23"/>
      <c r="I12" s="19"/>
      <c r="J12" s="23"/>
      <c r="K12" s="151"/>
      <c r="L12" s="152"/>
      <c r="M12" s="151"/>
      <c r="N12" s="151"/>
      <c r="O12" s="152"/>
      <c r="P12" s="151"/>
      <c r="Q12" s="151"/>
      <c r="R12" s="151"/>
      <c r="S12" s="151"/>
      <c r="T12" s="151"/>
    </row>
    <row r="13" spans="1:21" s="17" customFormat="1" outlineLevel="1">
      <c r="A13" s="16"/>
      <c r="B13" s="169" t="s">
        <v>169</v>
      </c>
      <c r="C13" s="161" t="s">
        <v>170</v>
      </c>
      <c r="D13" s="161" t="s">
        <v>171</v>
      </c>
      <c r="E13" s="170" t="s">
        <v>172</v>
      </c>
      <c r="F13" s="171" t="s">
        <v>173</v>
      </c>
      <c r="G13" s="24" t="s">
        <v>455</v>
      </c>
      <c r="H13" s="25"/>
      <c r="I13" s="190" t="s">
        <v>174</v>
      </c>
      <c r="J13" s="190"/>
      <c r="K13" s="151"/>
      <c r="L13" s="152"/>
      <c r="M13" s="151"/>
      <c r="N13" s="151"/>
      <c r="O13" s="152"/>
      <c r="P13" s="151"/>
      <c r="Q13" s="151"/>
      <c r="R13" s="151"/>
      <c r="S13" s="151"/>
      <c r="T13" s="151"/>
    </row>
    <row r="14" spans="1:21" s="17" customFormat="1" outlineLevel="1">
      <c r="A14" s="169" t="str">
        <f t="shared" ref="A14:A21" si="2">A4</f>
        <v>Equipe 1</v>
      </c>
      <c r="B14" s="18">
        <f>IF(B4="A",0, IF(B4="F", (S4*2+T4*1),(S4*3+T4*2)))</f>
        <v>0</v>
      </c>
      <c r="C14" s="27">
        <f>C4+E4+G4+I4+K4+M4+O4+Q4</f>
        <v>0</v>
      </c>
      <c r="D14" s="27">
        <f>D4+F4+H4+J4+L4+N4+P4+R4</f>
        <v>0</v>
      </c>
      <c r="E14" s="28">
        <f t="shared" ref="E14:E21" si="3">C14-D14</f>
        <v>0</v>
      </c>
      <c r="F14" s="171">
        <f>RANK(G14,G14:G21)</f>
        <v>1</v>
      </c>
      <c r="G14" s="26">
        <f>B14+E14/1000</f>
        <v>0</v>
      </c>
      <c r="H14" s="30">
        <v>1</v>
      </c>
      <c r="I14" s="189" t="str">
        <f>IF($A$1="calcul",VLOOKUP(H14,$F$14:$K$21,6,FALSE),"1er")</f>
        <v>1er</v>
      </c>
      <c r="J14" s="189"/>
      <c r="K14" s="157" t="str">
        <f t="shared" ref="K14:K21" si="4">A14</f>
        <v>Equipe 1</v>
      </c>
      <c r="L14" s="152"/>
      <c r="M14" s="151"/>
      <c r="N14" s="151"/>
      <c r="O14" s="152"/>
      <c r="P14" s="151"/>
      <c r="Q14" s="151"/>
      <c r="R14" s="151"/>
      <c r="S14" s="151"/>
      <c r="T14" s="151"/>
    </row>
    <row r="15" spans="1:21" s="17" customFormat="1" outlineLevel="1">
      <c r="A15" s="169" t="str">
        <f t="shared" si="2"/>
        <v>Equipe 2</v>
      </c>
      <c r="B15" s="18">
        <f t="shared" ref="B15:B21" si="5">IF(B5="A",0, IF(B5="F", (S5*2+T5*1),(S5*3+T5*2)))</f>
        <v>0</v>
      </c>
      <c r="C15" s="27">
        <f t="shared" ref="C15:D21" si="6">C5+E5+G5+I5+K5+M5+O5+Q5</f>
        <v>0</v>
      </c>
      <c r="D15" s="27">
        <f t="shared" si="6"/>
        <v>0</v>
      </c>
      <c r="E15" s="28">
        <f t="shared" si="3"/>
        <v>0</v>
      </c>
      <c r="F15" s="171">
        <f>RANK(G15,G14:G21)</f>
        <v>1</v>
      </c>
      <c r="G15" s="26">
        <f t="shared" ref="G15:G21" si="7">B15+E15/1000</f>
        <v>0</v>
      </c>
      <c r="H15" s="30">
        <v>2</v>
      </c>
      <c r="I15" s="189" t="str">
        <f>IF($A$1="calcul",VLOOKUP(H15,$F$14:$K$21,6,FALSE),"2e")</f>
        <v>2e</v>
      </c>
      <c r="J15" s="189"/>
      <c r="K15" s="157" t="str">
        <f t="shared" si="4"/>
        <v>Equipe 2</v>
      </c>
      <c r="L15" s="152"/>
      <c r="M15" s="151"/>
      <c r="N15" s="151"/>
      <c r="O15" s="152"/>
      <c r="P15" s="151"/>
      <c r="Q15" s="151"/>
      <c r="R15" s="151"/>
      <c r="S15" s="151"/>
      <c r="T15" s="151"/>
    </row>
    <row r="16" spans="1:21" s="17" customFormat="1" outlineLevel="1">
      <c r="A16" s="169" t="str">
        <f t="shared" si="2"/>
        <v>Equipe 3</v>
      </c>
      <c r="B16" s="18">
        <f t="shared" si="5"/>
        <v>0</v>
      </c>
      <c r="C16" s="27">
        <f t="shared" si="6"/>
        <v>0</v>
      </c>
      <c r="D16" s="27">
        <f t="shared" si="6"/>
        <v>0</v>
      </c>
      <c r="E16" s="28">
        <f t="shared" si="3"/>
        <v>0</v>
      </c>
      <c r="F16" s="171">
        <f>RANK(G16,G14:G21)</f>
        <v>1</v>
      </c>
      <c r="G16" s="26">
        <f t="shared" si="7"/>
        <v>0</v>
      </c>
      <c r="H16" s="30">
        <v>3</v>
      </c>
      <c r="I16" s="189" t="str">
        <f>IF($A$1="calcul",VLOOKUP(H16,$F$14:$K$21,6,FALSE),"3e")</f>
        <v>3e</v>
      </c>
      <c r="J16" s="189"/>
      <c r="K16" s="157" t="str">
        <f t="shared" si="4"/>
        <v>Equipe 3</v>
      </c>
      <c r="L16" s="152"/>
      <c r="M16" s="151"/>
      <c r="N16" s="151"/>
      <c r="O16" s="152"/>
      <c r="P16" s="151"/>
      <c r="Q16" s="151"/>
      <c r="R16" s="151"/>
      <c r="S16" s="151"/>
      <c r="T16" s="151"/>
    </row>
    <row r="17" spans="1:21" s="17" customFormat="1">
      <c r="A17" s="169" t="str">
        <f t="shared" si="2"/>
        <v>Equipe 4</v>
      </c>
      <c r="B17" s="18">
        <f t="shared" si="5"/>
        <v>0</v>
      </c>
      <c r="C17" s="27">
        <f t="shared" si="6"/>
        <v>0</v>
      </c>
      <c r="D17" s="27">
        <f t="shared" si="6"/>
        <v>0</v>
      </c>
      <c r="E17" s="28">
        <f t="shared" si="3"/>
        <v>0</v>
      </c>
      <c r="F17" s="171">
        <f>RANK(G17,G14:G21)</f>
        <v>1</v>
      </c>
      <c r="G17" s="26">
        <f t="shared" si="7"/>
        <v>0</v>
      </c>
      <c r="H17" s="30">
        <v>4</v>
      </c>
      <c r="I17" s="189" t="str">
        <f>IF($A$1="calcul",VLOOKUP(H17,$F$14:$K$21,6,FALSE),"4e")</f>
        <v>4e</v>
      </c>
      <c r="J17" s="189"/>
      <c r="K17" s="157" t="str">
        <f t="shared" si="4"/>
        <v>Equipe 4</v>
      </c>
      <c r="L17" s="152"/>
      <c r="M17" s="151"/>
      <c r="N17" s="151"/>
      <c r="O17" s="152"/>
      <c r="P17" s="151"/>
      <c r="Q17" s="151"/>
      <c r="R17" s="151"/>
      <c r="S17" s="151"/>
      <c r="T17" s="151"/>
    </row>
    <row r="18" spans="1:21" s="17" customFormat="1" outlineLevel="1">
      <c r="A18" s="169" t="str">
        <f t="shared" si="2"/>
        <v>Equipe 5</v>
      </c>
      <c r="B18" s="18">
        <f t="shared" si="5"/>
        <v>0</v>
      </c>
      <c r="C18" s="27">
        <f t="shared" si="6"/>
        <v>0</v>
      </c>
      <c r="D18" s="27">
        <f t="shared" si="6"/>
        <v>0</v>
      </c>
      <c r="E18" s="28">
        <f t="shared" si="3"/>
        <v>0</v>
      </c>
      <c r="F18" s="171">
        <f>RANK(G18,G14:G21)</f>
        <v>1</v>
      </c>
      <c r="G18" s="26">
        <f t="shared" si="7"/>
        <v>0</v>
      </c>
      <c r="H18" s="30">
        <v>5</v>
      </c>
      <c r="I18" s="189" t="str">
        <f>IF($A$1="calcul",VLOOKUP(H18,$F$14:$K$21,6,FALSE),"5e")</f>
        <v>5e</v>
      </c>
      <c r="J18" s="189"/>
      <c r="K18" s="157" t="str">
        <f t="shared" si="4"/>
        <v>Equipe 5</v>
      </c>
      <c r="L18" s="152"/>
      <c r="M18" s="151"/>
      <c r="N18" s="151"/>
      <c r="O18" s="152"/>
      <c r="P18" s="151"/>
      <c r="Q18" s="151"/>
      <c r="R18" s="151"/>
      <c r="S18" s="151"/>
      <c r="T18" s="151"/>
    </row>
    <row r="19" spans="1:21" s="17" customFormat="1" outlineLevel="1">
      <c r="A19" s="169" t="str">
        <f t="shared" si="2"/>
        <v>Equipe 6</v>
      </c>
      <c r="B19" s="18">
        <f t="shared" si="5"/>
        <v>0</v>
      </c>
      <c r="C19" s="27">
        <f t="shared" si="6"/>
        <v>0</v>
      </c>
      <c r="D19" s="27">
        <f t="shared" si="6"/>
        <v>0</v>
      </c>
      <c r="E19" s="28">
        <f t="shared" si="3"/>
        <v>0</v>
      </c>
      <c r="F19" s="171">
        <f>RANK(G19,G14:G21)</f>
        <v>1</v>
      </c>
      <c r="G19" s="26">
        <f t="shared" si="7"/>
        <v>0</v>
      </c>
      <c r="H19" s="30">
        <v>6</v>
      </c>
      <c r="I19" s="189" t="str">
        <f>IF($A$1="calcul",VLOOKUP(H19,$F$14:$K$21,6,FALSE),"6e")</f>
        <v>6e</v>
      </c>
      <c r="J19" s="189"/>
      <c r="K19" s="157" t="str">
        <f t="shared" si="4"/>
        <v>Equipe 6</v>
      </c>
      <c r="L19" s="152"/>
      <c r="M19" s="151"/>
      <c r="N19" s="151"/>
      <c r="O19" s="152"/>
      <c r="P19" s="151"/>
      <c r="Q19" s="151"/>
      <c r="R19" s="151"/>
      <c r="S19" s="151"/>
      <c r="T19" s="151"/>
    </row>
    <row r="20" spans="1:21" s="17" customFormat="1" outlineLevel="1">
      <c r="A20" s="169" t="str">
        <f t="shared" si="2"/>
        <v>Equipe 7</v>
      </c>
      <c r="B20" s="18">
        <f t="shared" si="5"/>
        <v>0</v>
      </c>
      <c r="C20" s="27">
        <f t="shared" si="6"/>
        <v>0</v>
      </c>
      <c r="D20" s="27">
        <f t="shared" si="6"/>
        <v>0</v>
      </c>
      <c r="E20" s="28">
        <f t="shared" si="3"/>
        <v>0</v>
      </c>
      <c r="F20" s="171">
        <f>RANK(G20,G14:G21)</f>
        <v>1</v>
      </c>
      <c r="G20" s="26">
        <f t="shared" si="7"/>
        <v>0</v>
      </c>
      <c r="H20" s="30">
        <v>7</v>
      </c>
      <c r="I20" s="189" t="str">
        <f>IF($A$1="calcul",VLOOKUP(H20,$F$14:$K$21,6,FALSE),"7e")</f>
        <v>7e</v>
      </c>
      <c r="J20" s="189"/>
      <c r="K20" s="157" t="str">
        <f t="shared" si="4"/>
        <v>Equipe 7</v>
      </c>
      <c r="L20" s="152"/>
      <c r="M20" s="151"/>
      <c r="N20" s="151"/>
      <c r="O20" s="152"/>
      <c r="P20" s="151"/>
      <c r="Q20" s="151"/>
      <c r="R20" s="151"/>
      <c r="S20" s="151"/>
      <c r="T20" s="151"/>
    </row>
    <row r="21" spans="1:21" s="17" customFormat="1" outlineLevel="1">
      <c r="A21" s="169" t="str">
        <f t="shared" si="2"/>
        <v>Equipe 8</v>
      </c>
      <c r="B21" s="18">
        <f t="shared" si="5"/>
        <v>0</v>
      </c>
      <c r="C21" s="27">
        <f t="shared" si="6"/>
        <v>0</v>
      </c>
      <c r="D21" s="27">
        <f t="shared" si="6"/>
        <v>0</v>
      </c>
      <c r="E21" s="28">
        <f t="shared" si="3"/>
        <v>0</v>
      </c>
      <c r="F21" s="171">
        <f>RANK(G21,G14:G21)</f>
        <v>1</v>
      </c>
      <c r="G21" s="26">
        <f t="shared" si="7"/>
        <v>0</v>
      </c>
      <c r="H21" s="30">
        <v>8</v>
      </c>
      <c r="I21" s="189" t="str">
        <f>IF($A$1="calcul",VLOOKUP(H21,$F$14:$K$21,6,FALSE),"8e")</f>
        <v>8e</v>
      </c>
      <c r="J21" s="189"/>
      <c r="K21" s="157" t="str">
        <f t="shared" si="4"/>
        <v>Equipe 8</v>
      </c>
      <c r="L21" s="152"/>
      <c r="M21" s="151"/>
      <c r="N21" s="151"/>
      <c r="O21" s="152"/>
      <c r="P21" s="151"/>
      <c r="Q21" s="151"/>
      <c r="R21" s="151"/>
      <c r="S21" s="151"/>
      <c r="T21" s="151"/>
    </row>
    <row r="22" spans="1:21" s="17" customFormat="1" outlineLevel="1">
      <c r="A22" s="151"/>
      <c r="B22" s="19"/>
      <c r="C22" s="29">
        <f>SUM(C14:C21)</f>
        <v>0</v>
      </c>
      <c r="D22" s="29">
        <f>SUM(D14:D21)</f>
        <v>0</v>
      </c>
      <c r="E22" s="19"/>
      <c r="F22" s="19"/>
      <c r="G22" s="19"/>
      <c r="H22" s="19"/>
      <c r="I22" s="19"/>
      <c r="J22" s="151"/>
      <c r="K22" s="151"/>
      <c r="L22" s="152"/>
      <c r="M22" s="151"/>
      <c r="N22" s="151"/>
      <c r="O22" s="152"/>
      <c r="P22" s="151"/>
      <c r="Q22" s="151"/>
      <c r="R22" s="151"/>
      <c r="S22" s="151"/>
      <c r="T22" s="151"/>
      <c r="U22" s="19"/>
    </row>
    <row r="23" spans="1:21" s="155" customFormat="1" ht="15.6">
      <c r="A23" s="158" t="s">
        <v>174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2"/>
      <c r="M23" s="151"/>
      <c r="N23" s="151"/>
      <c r="O23" s="152"/>
      <c r="P23" s="151"/>
      <c r="Q23" s="151"/>
      <c r="R23" s="151"/>
      <c r="S23" s="151"/>
      <c r="T23" s="151"/>
      <c r="U23" s="151"/>
    </row>
    <row r="24" spans="1:21" s="17" customFormat="1" hidden="1" outlineLevel="1">
      <c r="A24" s="191" t="s">
        <v>175</v>
      </c>
      <c r="B24" s="192" t="s">
        <v>410</v>
      </c>
      <c r="C24" s="192"/>
      <c r="D24" s="192" t="s">
        <v>411</v>
      </c>
      <c r="E24" s="192"/>
      <c r="F24" s="192" t="s">
        <v>412</v>
      </c>
      <c r="G24" s="192"/>
      <c r="H24" s="192" t="s">
        <v>413</v>
      </c>
      <c r="I24" s="192"/>
      <c r="J24" s="151"/>
      <c r="K24" s="151"/>
      <c r="L24" s="152"/>
      <c r="M24" s="151"/>
      <c r="N24" s="151"/>
      <c r="O24" s="152"/>
      <c r="P24" s="151"/>
      <c r="Q24" s="151"/>
      <c r="R24" s="151"/>
      <c r="S24" s="151"/>
      <c r="T24" s="151"/>
      <c r="U24" s="19"/>
    </row>
    <row r="25" spans="1:21" s="17" customFormat="1" hidden="1" outlineLevel="1">
      <c r="A25" s="191"/>
      <c r="B25" s="31" t="str">
        <f>I14</f>
        <v>1er</v>
      </c>
      <c r="C25" s="30" t="str">
        <f>I17</f>
        <v>4e</v>
      </c>
      <c r="D25" s="30" t="str">
        <f>I15</f>
        <v>2e</v>
      </c>
      <c r="E25" s="31" t="str">
        <f>I16</f>
        <v>3e</v>
      </c>
      <c r="F25" s="31" t="str">
        <f>I18</f>
        <v>5e</v>
      </c>
      <c r="G25" s="30" t="str">
        <f>I21</f>
        <v>8e</v>
      </c>
      <c r="H25" s="30" t="str">
        <f>I19</f>
        <v>6e</v>
      </c>
      <c r="I25" s="31" t="str">
        <f>I20</f>
        <v>7e</v>
      </c>
      <c r="J25" s="151"/>
      <c r="K25" s="151"/>
      <c r="L25" s="152"/>
      <c r="M25" s="151"/>
      <c r="N25" s="151"/>
      <c r="O25" s="152"/>
      <c r="P25" s="151"/>
      <c r="Q25" s="151"/>
      <c r="R25" s="151"/>
      <c r="S25" s="151"/>
      <c r="T25" s="151"/>
      <c r="U25" s="19"/>
    </row>
    <row r="26" spans="1:21" s="17" customFormat="1" hidden="1" outlineLevel="1">
      <c r="A26" s="191"/>
      <c r="B26" s="172"/>
      <c r="C26" s="172"/>
      <c r="D26" s="172"/>
      <c r="E26" s="172"/>
      <c r="F26" s="30"/>
      <c r="G26" s="30"/>
      <c r="H26" s="172"/>
      <c r="I26" s="172"/>
      <c r="J26" s="151"/>
      <c r="K26" s="151"/>
      <c r="L26" s="152"/>
      <c r="M26" s="151"/>
      <c r="N26" s="151"/>
      <c r="O26" s="152"/>
      <c r="P26" s="151"/>
      <c r="Q26" s="151"/>
      <c r="R26" s="151"/>
      <c r="S26" s="151"/>
      <c r="T26" s="151"/>
      <c r="U26" s="19"/>
    </row>
    <row r="27" spans="1:21" s="17" customFormat="1" hidden="1" outlineLevel="1">
      <c r="A27" s="191" t="s">
        <v>174</v>
      </c>
      <c r="B27" s="192" t="s">
        <v>176</v>
      </c>
      <c r="C27" s="192"/>
      <c r="D27" s="192" t="s">
        <v>177</v>
      </c>
      <c r="E27" s="192"/>
      <c r="F27" s="192" t="s">
        <v>178</v>
      </c>
      <c r="G27" s="192"/>
      <c r="H27" s="192" t="s">
        <v>179</v>
      </c>
      <c r="I27" s="192"/>
      <c r="J27" s="151"/>
      <c r="K27" s="151"/>
      <c r="L27" s="152"/>
      <c r="M27" s="151"/>
      <c r="N27" s="151"/>
      <c r="O27" s="152"/>
      <c r="P27" s="151"/>
      <c r="Q27" s="151"/>
      <c r="R27" s="151"/>
      <c r="S27" s="151"/>
      <c r="T27" s="151"/>
      <c r="U27" s="19"/>
    </row>
    <row r="28" spans="1:21" s="17" customFormat="1" hidden="1" outlineLevel="1">
      <c r="A28" s="191"/>
      <c r="B28" s="31" t="str">
        <f>IF($A$1="calcul",IF(B26&gt;C26,B25,C25),"W 1/2 n°1")</f>
        <v>W 1/2 n°1</v>
      </c>
      <c r="C28" s="30" t="str">
        <f>IF($A$1="calcul",IF(D26&gt;E26,D25,E25),"W 1/2 n°2")</f>
        <v>W 1/2 n°2</v>
      </c>
      <c r="D28" s="31" t="str">
        <f>IF($A$1="calcul",IF(B26&lt;C26,B25,C25),"L 1/2 n°1")</f>
        <v>L 1/2 n°1</v>
      </c>
      <c r="E28" s="30" t="str">
        <f>IF($A$1="calcul",IF(D26&lt;E26,D25,E25),"L 1/2 n°2")</f>
        <v>L 1/2 n°2</v>
      </c>
      <c r="F28" s="30" t="str">
        <f>IF($A$1="calcul",IF(F26&gt;G26,F25,G25),"W 1/2 n°3")</f>
        <v>W 1/2 n°3</v>
      </c>
      <c r="G28" s="31" t="str">
        <f>IF($A$1="calcul",IF(H26&gt;I26,H25,I25),"W 1/2 n°4")</f>
        <v>W 1/2 n°4</v>
      </c>
      <c r="H28" s="30" t="str">
        <f>IF($A$1="calcul",IF(F26&lt;G26,F25,G25),"L 1/2 n°3")</f>
        <v>L 1/2 n°3</v>
      </c>
      <c r="I28" s="31" t="str">
        <f>IF($A$1="calcul",IF(H26&lt;I26,H25,I25),"L 1/2 n°4")</f>
        <v>L 1/2 n°4</v>
      </c>
      <c r="J28" s="151"/>
      <c r="K28" s="151"/>
      <c r="L28" s="152"/>
      <c r="M28" s="151"/>
      <c r="N28" s="151"/>
      <c r="O28" s="152"/>
      <c r="P28" s="151"/>
      <c r="Q28" s="151"/>
      <c r="R28" s="151"/>
      <c r="S28" s="151"/>
      <c r="T28" s="151"/>
      <c r="U28" s="19"/>
    </row>
    <row r="29" spans="1:21" s="17" customFormat="1" hidden="1" outlineLevel="1">
      <c r="A29" s="191"/>
      <c r="B29" s="172"/>
      <c r="C29" s="172"/>
      <c r="D29" s="172"/>
      <c r="E29" s="173"/>
      <c r="F29" s="172"/>
      <c r="G29" s="172"/>
      <c r="H29" s="172"/>
      <c r="I29" s="172"/>
      <c r="J29" s="151"/>
      <c r="K29" s="151"/>
      <c r="L29" s="152"/>
      <c r="M29" s="151"/>
      <c r="N29" s="151"/>
      <c r="O29" s="152"/>
      <c r="P29" s="151"/>
      <c r="Q29" s="151"/>
      <c r="R29" s="151"/>
      <c r="S29" s="151"/>
      <c r="T29" s="151"/>
      <c r="U29" s="19"/>
    </row>
    <row r="30" spans="1:21" s="152" customFormat="1" hidden="1" outlineLevel="1">
      <c r="A30" s="156"/>
      <c r="B30" s="156"/>
      <c r="C30" s="156"/>
      <c r="D30" s="156"/>
      <c r="E30" s="156"/>
      <c r="F30" s="151"/>
      <c r="G30" s="151"/>
      <c r="H30" s="151"/>
      <c r="I30" s="151"/>
      <c r="J30" s="151"/>
      <c r="K30" s="151"/>
      <c r="M30" s="151"/>
      <c r="N30" s="151"/>
      <c r="P30" s="151"/>
      <c r="Q30" s="151"/>
      <c r="R30" s="151"/>
      <c r="S30" s="151"/>
      <c r="T30" s="151"/>
      <c r="U30" s="151"/>
    </row>
    <row r="31" spans="1:21" s="152" customFormat="1" hidden="1" outlineLevel="1">
      <c r="A31" s="155"/>
      <c r="B31" s="155"/>
      <c r="C31" s="190" t="s">
        <v>174</v>
      </c>
      <c r="D31" s="190"/>
      <c r="E31" s="155"/>
      <c r="F31" s="151"/>
      <c r="G31" s="151"/>
      <c r="H31" s="151"/>
      <c r="I31" s="151"/>
      <c r="J31" s="151"/>
      <c r="K31" s="151"/>
      <c r="M31" s="151"/>
      <c r="N31" s="151"/>
      <c r="P31" s="151"/>
      <c r="Q31" s="151"/>
      <c r="R31" s="151"/>
      <c r="S31" s="151"/>
      <c r="T31" s="151"/>
      <c r="U31" s="151"/>
    </row>
    <row r="32" spans="1:21" s="152" customFormat="1" hidden="1" outlineLevel="1">
      <c r="A32" s="155"/>
      <c r="B32" s="167">
        <v>1</v>
      </c>
      <c r="C32" s="193" t="str">
        <f>IF($A$1="calcul",IF(B29&gt;C29,B28,C28),"1er D3ZA")</f>
        <v>1er D3ZA</v>
      </c>
      <c r="D32" s="193"/>
      <c r="E32" s="155" t="s">
        <v>456</v>
      </c>
      <c r="F32" s="151"/>
      <c r="G32" s="151"/>
      <c r="H32" s="151"/>
      <c r="I32" s="151"/>
      <c r="J32" s="151"/>
      <c r="K32" s="151"/>
      <c r="M32" s="151"/>
      <c r="N32" s="151"/>
      <c r="P32" s="151"/>
      <c r="Q32" s="151"/>
      <c r="R32" s="151"/>
      <c r="S32" s="151"/>
      <c r="T32" s="151"/>
      <c r="U32" s="151"/>
    </row>
    <row r="33" spans="1:21" s="152" customFormat="1" hidden="1" outlineLevel="1">
      <c r="A33" s="155"/>
      <c r="B33" s="167">
        <v>2</v>
      </c>
      <c r="C33" s="193" t="str">
        <f>IF($A$1="calcul",IF(B29&lt;C29,B28,C28),"2e D3ZA")</f>
        <v>2e D3ZA</v>
      </c>
      <c r="D33" s="193"/>
      <c r="E33" s="155"/>
      <c r="F33" s="151"/>
      <c r="G33" s="151"/>
      <c r="H33" s="151"/>
      <c r="I33" s="151"/>
      <c r="J33" s="151"/>
      <c r="K33" s="151"/>
      <c r="M33" s="151"/>
      <c r="N33" s="151"/>
      <c r="P33" s="151"/>
      <c r="Q33" s="151"/>
      <c r="R33" s="151"/>
      <c r="S33" s="151"/>
      <c r="T33" s="151"/>
      <c r="U33" s="151"/>
    </row>
    <row r="34" spans="1:21" s="152" customFormat="1" hidden="1" outlineLevel="1">
      <c r="A34" s="155"/>
      <c r="B34" s="167">
        <v>3</v>
      </c>
      <c r="C34" s="193" t="str">
        <f>IF($A$1="calcul",IF(D29&gt;E29,D28,E28),"3e D3ZA")</f>
        <v>3e D3ZA</v>
      </c>
      <c r="D34" s="193"/>
      <c r="E34" s="155"/>
      <c r="F34" s="151"/>
      <c r="G34" s="151"/>
      <c r="H34" s="151"/>
      <c r="I34" s="151"/>
      <c r="J34" s="151"/>
      <c r="K34" s="151"/>
      <c r="M34" s="151"/>
      <c r="N34" s="151"/>
      <c r="P34" s="151"/>
      <c r="Q34" s="151"/>
      <c r="R34" s="151"/>
      <c r="S34" s="151"/>
      <c r="T34" s="151"/>
      <c r="U34" s="151"/>
    </row>
    <row r="35" spans="1:21" s="152" customFormat="1" hidden="1" outlineLevel="1">
      <c r="A35" s="155"/>
      <c r="B35" s="167">
        <v>4</v>
      </c>
      <c r="C35" s="193" t="str">
        <f>IF($A$1="calcul",IF(D29&lt;E29,D28,E28),"4e D3ZA")</f>
        <v>4e D3ZA</v>
      </c>
      <c r="D35" s="193"/>
      <c r="E35" s="156"/>
      <c r="F35" s="151"/>
      <c r="G35" s="151"/>
      <c r="H35" s="151"/>
      <c r="I35" s="151"/>
      <c r="J35" s="151"/>
      <c r="K35" s="151"/>
      <c r="M35" s="151"/>
      <c r="N35" s="151"/>
      <c r="P35" s="151"/>
      <c r="Q35" s="151"/>
      <c r="R35" s="151"/>
      <c r="S35" s="151"/>
      <c r="T35" s="151"/>
      <c r="U35" s="151"/>
    </row>
    <row r="36" spans="1:21" s="152" customFormat="1" hidden="1" outlineLevel="1">
      <c r="A36" s="155"/>
      <c r="B36" s="167">
        <v>5</v>
      </c>
      <c r="C36" s="193" t="str">
        <f>IF($A$1="calcul",IF(F29&gt;G29,F28,G28),"5e D3ZA")</f>
        <v>5e D3ZA</v>
      </c>
      <c r="D36" s="193"/>
      <c r="E36" s="156"/>
      <c r="F36" s="151"/>
      <c r="G36" s="151"/>
      <c r="H36" s="151"/>
      <c r="I36" s="151"/>
      <c r="J36" s="151"/>
      <c r="K36" s="151"/>
      <c r="M36" s="151"/>
      <c r="N36" s="151"/>
      <c r="P36" s="151"/>
      <c r="Q36" s="151"/>
      <c r="R36" s="151"/>
      <c r="S36" s="151"/>
      <c r="T36" s="151"/>
      <c r="U36" s="151"/>
    </row>
    <row r="37" spans="1:21" s="152" customFormat="1" hidden="1" outlineLevel="1">
      <c r="A37" s="155"/>
      <c r="B37" s="167">
        <v>6</v>
      </c>
      <c r="C37" s="193" t="str">
        <f>IF($A$1="calcul",IF(F29&lt;G29,F28,G28),"6e D3ZA")</f>
        <v>6e D3ZA</v>
      </c>
      <c r="D37" s="193"/>
      <c r="E37" s="156"/>
      <c r="F37" s="151"/>
      <c r="G37" s="151"/>
      <c r="H37" s="151"/>
      <c r="I37" s="151"/>
      <c r="J37" s="151"/>
      <c r="K37" s="151"/>
      <c r="M37" s="151"/>
      <c r="N37" s="151"/>
      <c r="P37" s="151"/>
      <c r="Q37" s="151"/>
      <c r="R37" s="151"/>
      <c r="S37" s="151"/>
      <c r="T37" s="151"/>
      <c r="U37" s="151"/>
    </row>
    <row r="38" spans="1:21" s="152" customFormat="1" hidden="1" outlineLevel="1">
      <c r="A38" s="155"/>
      <c r="B38" s="167">
        <v>7</v>
      </c>
      <c r="C38" s="193" t="str">
        <f>IF($A$1="calcul",IF(H29&gt;I29,H28,I28),"7e D3ZA")</f>
        <v>7e D3ZA</v>
      </c>
      <c r="D38" s="193"/>
      <c r="E38" s="156" t="s">
        <v>457</v>
      </c>
      <c r="F38" s="151"/>
      <c r="G38" s="151"/>
      <c r="H38" s="151"/>
      <c r="I38" s="151"/>
      <c r="J38" s="151"/>
      <c r="K38" s="151"/>
      <c r="M38" s="151"/>
      <c r="N38" s="151"/>
      <c r="P38" s="151"/>
      <c r="Q38" s="151"/>
      <c r="R38" s="151"/>
      <c r="S38" s="151"/>
      <c r="T38" s="151"/>
      <c r="U38" s="151"/>
    </row>
    <row r="39" spans="1:21" s="152" customFormat="1" hidden="1" outlineLevel="1">
      <c r="A39" s="155"/>
      <c r="B39" s="167">
        <v>8</v>
      </c>
      <c r="C39" s="193" t="str">
        <f>IF($A$1="calcul",IF(H29&lt;I29,H28,I28),"8e D3ZA")</f>
        <v>8e D3ZA</v>
      </c>
      <c r="D39" s="193"/>
      <c r="E39" s="156" t="s">
        <v>457</v>
      </c>
      <c r="F39" s="155"/>
      <c r="G39" s="155"/>
      <c r="H39" s="155"/>
      <c r="I39" s="155"/>
      <c r="J39" s="155"/>
      <c r="P39" s="151"/>
      <c r="Q39" s="151"/>
      <c r="R39" s="151"/>
      <c r="S39" s="151"/>
      <c r="T39" s="151"/>
      <c r="U39" s="151"/>
    </row>
    <row r="40" spans="1:21" collapsed="1"/>
  </sheetData>
  <mergeCells count="37">
    <mergeCell ref="C38:D38"/>
    <mergeCell ref="C39:D39"/>
    <mergeCell ref="C32:D32"/>
    <mergeCell ref="C33:D33"/>
    <mergeCell ref="C34:D34"/>
    <mergeCell ref="C35:D35"/>
    <mergeCell ref="C36:D36"/>
    <mergeCell ref="C37:D37"/>
    <mergeCell ref="A27:A29"/>
    <mergeCell ref="B27:C27"/>
    <mergeCell ref="D27:E27"/>
    <mergeCell ref="F27:G27"/>
    <mergeCell ref="H27:I27"/>
    <mergeCell ref="C31:D31"/>
    <mergeCell ref="I17:J17"/>
    <mergeCell ref="I18:J18"/>
    <mergeCell ref="I19:J19"/>
    <mergeCell ref="I20:J20"/>
    <mergeCell ref="I21:J21"/>
    <mergeCell ref="A24:A26"/>
    <mergeCell ref="B24:C24"/>
    <mergeCell ref="D24:E24"/>
    <mergeCell ref="F24:G24"/>
    <mergeCell ref="H24:I24"/>
    <mergeCell ref="A2:T2"/>
    <mergeCell ref="I16:J16"/>
    <mergeCell ref="C3:D3"/>
    <mergeCell ref="E3:F3"/>
    <mergeCell ref="G3:H3"/>
    <mergeCell ref="I3:J3"/>
    <mergeCell ref="O3:P3"/>
    <mergeCell ref="Q3:R3"/>
    <mergeCell ref="I13:J13"/>
    <mergeCell ref="I14:J14"/>
    <mergeCell ref="I15:J15"/>
    <mergeCell ref="K3:L3"/>
    <mergeCell ref="M3:N3"/>
  </mergeCells>
  <dataValidations count="2">
    <dataValidation type="list" allowBlank="1" showInputMessage="1" showErrorMessage="1" sqref="A1">
      <formula1>"calcul"</formula1>
    </dataValidation>
    <dataValidation type="list" allowBlank="1" showInputMessage="1" showErrorMessage="1" sqref="B4:B10">
      <formula1>"A,F"</formula1>
    </dataValidation>
  </dataValidations>
  <printOptions horizontalCentered="1" verticalCentered="1"/>
  <pageMargins left="0" right="0" top="0" bottom="0" header="0" footer="0"/>
  <pageSetup paperSize="9" scale="86" orientation="landscape" r:id="rId1"/>
  <headerFooter scaleWithDoc="0">
    <oddHeader>&amp;C&amp;G</oddHeader>
    <oddFooter>&amp;L&amp;"Open Sans,Normal"&amp;8© 2017 - Ligue Flying Disc&amp;R&amp;"Open Sans,Normal"&amp;8&amp;D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77"/>
  <sheetViews>
    <sheetView view="pageBreakPreview" topLeftCell="A43" zoomScaleNormal="100" workbookViewId="0">
      <selection activeCell="J66" sqref="J66"/>
    </sheetView>
  </sheetViews>
  <sheetFormatPr baseColWidth="10" defaultRowHeight="15" customHeight="1"/>
  <cols>
    <col min="1" max="1" width="7.44140625" style="196" customWidth="1"/>
    <col min="2" max="2" width="18.5546875" style="196" customWidth="1"/>
    <col min="3" max="3" width="17.44140625" style="196" customWidth="1"/>
    <col min="4" max="4" width="4.88671875" style="196" customWidth="1"/>
    <col min="5" max="5" width="7.44140625" style="196" customWidth="1"/>
    <col min="6" max="6" width="18.5546875" style="196" customWidth="1"/>
    <col min="7" max="7" width="17.44140625" style="196" customWidth="1"/>
    <col min="8" max="8" width="5.6640625" style="196" customWidth="1"/>
    <col min="9" max="9" width="18.5546875" style="196" bestFit="1" customWidth="1"/>
    <col min="10" max="13" width="7.44140625" style="196" bestFit="1" customWidth="1"/>
    <col min="14" max="15" width="11.6640625" style="196" bestFit="1" customWidth="1"/>
    <col min="16" max="256" width="11.5546875" style="196"/>
    <col min="257" max="257" width="7.44140625" style="196" customWidth="1"/>
    <col min="258" max="258" width="18.5546875" style="196" customWidth="1"/>
    <col min="259" max="259" width="17.44140625" style="196" customWidth="1"/>
    <col min="260" max="260" width="4.88671875" style="196" customWidth="1"/>
    <col min="261" max="261" width="7.44140625" style="196" customWidth="1"/>
    <col min="262" max="262" width="18.5546875" style="196" customWidth="1"/>
    <col min="263" max="263" width="17.44140625" style="196" customWidth="1"/>
    <col min="264" max="264" width="5.6640625" style="196" customWidth="1"/>
    <col min="265" max="265" width="17.33203125" style="196" customWidth="1"/>
    <col min="266" max="269" width="2" style="196" bestFit="1" customWidth="1"/>
    <col min="270" max="512" width="11.5546875" style="196"/>
    <col min="513" max="513" width="7.44140625" style="196" customWidth="1"/>
    <col min="514" max="514" width="18.5546875" style="196" customWidth="1"/>
    <col min="515" max="515" width="17.44140625" style="196" customWidth="1"/>
    <col min="516" max="516" width="4.88671875" style="196" customWidth="1"/>
    <col min="517" max="517" width="7.44140625" style="196" customWidth="1"/>
    <col min="518" max="518" width="18.5546875" style="196" customWidth="1"/>
    <col min="519" max="519" width="17.44140625" style="196" customWidth="1"/>
    <col min="520" max="520" width="5.6640625" style="196" customWidth="1"/>
    <col min="521" max="521" width="17.33203125" style="196" customWidth="1"/>
    <col min="522" max="525" width="2" style="196" bestFit="1" customWidth="1"/>
    <col min="526" max="768" width="11.5546875" style="196"/>
    <col min="769" max="769" width="7.44140625" style="196" customWidth="1"/>
    <col min="770" max="770" width="18.5546875" style="196" customWidth="1"/>
    <col min="771" max="771" width="17.44140625" style="196" customWidth="1"/>
    <col min="772" max="772" width="4.88671875" style="196" customWidth="1"/>
    <col min="773" max="773" width="7.44140625" style="196" customWidth="1"/>
    <col min="774" max="774" width="18.5546875" style="196" customWidth="1"/>
    <col min="775" max="775" width="17.44140625" style="196" customWidth="1"/>
    <col min="776" max="776" width="5.6640625" style="196" customWidth="1"/>
    <col min="777" max="777" width="17.33203125" style="196" customWidth="1"/>
    <col min="778" max="781" width="2" style="196" bestFit="1" customWidth="1"/>
    <col min="782" max="1024" width="11.5546875" style="196"/>
    <col min="1025" max="1025" width="7.44140625" style="196" customWidth="1"/>
    <col min="1026" max="1026" width="18.5546875" style="196" customWidth="1"/>
    <col min="1027" max="1027" width="17.44140625" style="196" customWidth="1"/>
    <col min="1028" max="1028" width="4.88671875" style="196" customWidth="1"/>
    <col min="1029" max="1029" width="7.44140625" style="196" customWidth="1"/>
    <col min="1030" max="1030" width="18.5546875" style="196" customWidth="1"/>
    <col min="1031" max="1031" width="17.44140625" style="196" customWidth="1"/>
    <col min="1032" max="1032" width="5.6640625" style="196" customWidth="1"/>
    <col min="1033" max="1033" width="17.33203125" style="196" customWidth="1"/>
    <col min="1034" max="1037" width="2" style="196" bestFit="1" customWidth="1"/>
    <col min="1038" max="1280" width="11.5546875" style="196"/>
    <col min="1281" max="1281" width="7.44140625" style="196" customWidth="1"/>
    <col min="1282" max="1282" width="18.5546875" style="196" customWidth="1"/>
    <col min="1283" max="1283" width="17.44140625" style="196" customWidth="1"/>
    <col min="1284" max="1284" width="4.88671875" style="196" customWidth="1"/>
    <col min="1285" max="1285" width="7.44140625" style="196" customWidth="1"/>
    <col min="1286" max="1286" width="18.5546875" style="196" customWidth="1"/>
    <col min="1287" max="1287" width="17.44140625" style="196" customWidth="1"/>
    <col min="1288" max="1288" width="5.6640625" style="196" customWidth="1"/>
    <col min="1289" max="1289" width="17.33203125" style="196" customWidth="1"/>
    <col min="1290" max="1293" width="2" style="196" bestFit="1" customWidth="1"/>
    <col min="1294" max="1536" width="11.5546875" style="196"/>
    <col min="1537" max="1537" width="7.44140625" style="196" customWidth="1"/>
    <col min="1538" max="1538" width="18.5546875" style="196" customWidth="1"/>
    <col min="1539" max="1539" width="17.44140625" style="196" customWidth="1"/>
    <col min="1540" max="1540" width="4.88671875" style="196" customWidth="1"/>
    <col min="1541" max="1541" width="7.44140625" style="196" customWidth="1"/>
    <col min="1542" max="1542" width="18.5546875" style="196" customWidth="1"/>
    <col min="1543" max="1543" width="17.44140625" style="196" customWidth="1"/>
    <col min="1544" max="1544" width="5.6640625" style="196" customWidth="1"/>
    <col min="1545" max="1545" width="17.33203125" style="196" customWidth="1"/>
    <col min="1546" max="1549" width="2" style="196" bestFit="1" customWidth="1"/>
    <col min="1550" max="1792" width="11.5546875" style="196"/>
    <col min="1793" max="1793" width="7.44140625" style="196" customWidth="1"/>
    <col min="1794" max="1794" width="18.5546875" style="196" customWidth="1"/>
    <col min="1795" max="1795" width="17.44140625" style="196" customWidth="1"/>
    <col min="1796" max="1796" width="4.88671875" style="196" customWidth="1"/>
    <col min="1797" max="1797" width="7.44140625" style="196" customWidth="1"/>
    <col min="1798" max="1798" width="18.5546875" style="196" customWidth="1"/>
    <col min="1799" max="1799" width="17.44140625" style="196" customWidth="1"/>
    <col min="1800" max="1800" width="5.6640625" style="196" customWidth="1"/>
    <col min="1801" max="1801" width="17.33203125" style="196" customWidth="1"/>
    <col min="1802" max="1805" width="2" style="196" bestFit="1" customWidth="1"/>
    <col min="1806" max="2048" width="11.5546875" style="196"/>
    <col min="2049" max="2049" width="7.44140625" style="196" customWidth="1"/>
    <col min="2050" max="2050" width="18.5546875" style="196" customWidth="1"/>
    <col min="2051" max="2051" width="17.44140625" style="196" customWidth="1"/>
    <col min="2052" max="2052" width="4.88671875" style="196" customWidth="1"/>
    <col min="2053" max="2053" width="7.44140625" style="196" customWidth="1"/>
    <col min="2054" max="2054" width="18.5546875" style="196" customWidth="1"/>
    <col min="2055" max="2055" width="17.44140625" style="196" customWidth="1"/>
    <col min="2056" max="2056" width="5.6640625" style="196" customWidth="1"/>
    <col min="2057" max="2057" width="17.33203125" style="196" customWidth="1"/>
    <col min="2058" max="2061" width="2" style="196" bestFit="1" customWidth="1"/>
    <col min="2062" max="2304" width="11.5546875" style="196"/>
    <col min="2305" max="2305" width="7.44140625" style="196" customWidth="1"/>
    <col min="2306" max="2306" width="18.5546875" style="196" customWidth="1"/>
    <col min="2307" max="2307" width="17.44140625" style="196" customWidth="1"/>
    <col min="2308" max="2308" width="4.88671875" style="196" customWidth="1"/>
    <col min="2309" max="2309" width="7.44140625" style="196" customWidth="1"/>
    <col min="2310" max="2310" width="18.5546875" style="196" customWidth="1"/>
    <col min="2311" max="2311" width="17.44140625" style="196" customWidth="1"/>
    <col min="2312" max="2312" width="5.6640625" style="196" customWidth="1"/>
    <col min="2313" max="2313" width="17.33203125" style="196" customWidth="1"/>
    <col min="2314" max="2317" width="2" style="196" bestFit="1" customWidth="1"/>
    <col min="2318" max="2560" width="11.5546875" style="196"/>
    <col min="2561" max="2561" width="7.44140625" style="196" customWidth="1"/>
    <col min="2562" max="2562" width="18.5546875" style="196" customWidth="1"/>
    <col min="2563" max="2563" width="17.44140625" style="196" customWidth="1"/>
    <col min="2564" max="2564" width="4.88671875" style="196" customWidth="1"/>
    <col min="2565" max="2565" width="7.44140625" style="196" customWidth="1"/>
    <col min="2566" max="2566" width="18.5546875" style="196" customWidth="1"/>
    <col min="2567" max="2567" width="17.44140625" style="196" customWidth="1"/>
    <col min="2568" max="2568" width="5.6640625" style="196" customWidth="1"/>
    <col min="2569" max="2569" width="17.33203125" style="196" customWidth="1"/>
    <col min="2570" max="2573" width="2" style="196" bestFit="1" customWidth="1"/>
    <col min="2574" max="2816" width="11.5546875" style="196"/>
    <col min="2817" max="2817" width="7.44140625" style="196" customWidth="1"/>
    <col min="2818" max="2818" width="18.5546875" style="196" customWidth="1"/>
    <col min="2819" max="2819" width="17.44140625" style="196" customWidth="1"/>
    <col min="2820" max="2820" width="4.88671875" style="196" customWidth="1"/>
    <col min="2821" max="2821" width="7.44140625" style="196" customWidth="1"/>
    <col min="2822" max="2822" width="18.5546875" style="196" customWidth="1"/>
    <col min="2823" max="2823" width="17.44140625" style="196" customWidth="1"/>
    <col min="2824" max="2824" width="5.6640625" style="196" customWidth="1"/>
    <col min="2825" max="2825" width="17.33203125" style="196" customWidth="1"/>
    <col min="2826" max="2829" width="2" style="196" bestFit="1" customWidth="1"/>
    <col min="2830" max="3072" width="11.5546875" style="196"/>
    <col min="3073" max="3073" width="7.44140625" style="196" customWidth="1"/>
    <col min="3074" max="3074" width="18.5546875" style="196" customWidth="1"/>
    <col min="3075" max="3075" width="17.44140625" style="196" customWidth="1"/>
    <col min="3076" max="3076" width="4.88671875" style="196" customWidth="1"/>
    <col min="3077" max="3077" width="7.44140625" style="196" customWidth="1"/>
    <col min="3078" max="3078" width="18.5546875" style="196" customWidth="1"/>
    <col min="3079" max="3079" width="17.44140625" style="196" customWidth="1"/>
    <col min="3080" max="3080" width="5.6640625" style="196" customWidth="1"/>
    <col min="3081" max="3081" width="17.33203125" style="196" customWidth="1"/>
    <col min="3082" max="3085" width="2" style="196" bestFit="1" customWidth="1"/>
    <col min="3086" max="3328" width="11.5546875" style="196"/>
    <col min="3329" max="3329" width="7.44140625" style="196" customWidth="1"/>
    <col min="3330" max="3330" width="18.5546875" style="196" customWidth="1"/>
    <col min="3331" max="3331" width="17.44140625" style="196" customWidth="1"/>
    <col min="3332" max="3332" width="4.88671875" style="196" customWidth="1"/>
    <col min="3333" max="3333" width="7.44140625" style="196" customWidth="1"/>
    <col min="3334" max="3334" width="18.5546875" style="196" customWidth="1"/>
    <col min="3335" max="3335" width="17.44140625" style="196" customWidth="1"/>
    <col min="3336" max="3336" width="5.6640625" style="196" customWidth="1"/>
    <col min="3337" max="3337" width="17.33203125" style="196" customWidth="1"/>
    <col min="3338" max="3341" width="2" style="196" bestFit="1" customWidth="1"/>
    <col min="3342" max="3584" width="11.5546875" style="196"/>
    <col min="3585" max="3585" width="7.44140625" style="196" customWidth="1"/>
    <col min="3586" max="3586" width="18.5546875" style="196" customWidth="1"/>
    <col min="3587" max="3587" width="17.44140625" style="196" customWidth="1"/>
    <col min="3588" max="3588" width="4.88671875" style="196" customWidth="1"/>
    <col min="3589" max="3589" width="7.44140625" style="196" customWidth="1"/>
    <col min="3590" max="3590" width="18.5546875" style="196" customWidth="1"/>
    <col min="3591" max="3591" width="17.44140625" style="196" customWidth="1"/>
    <col min="3592" max="3592" width="5.6640625" style="196" customWidth="1"/>
    <col min="3593" max="3593" width="17.33203125" style="196" customWidth="1"/>
    <col min="3594" max="3597" width="2" style="196" bestFit="1" customWidth="1"/>
    <col min="3598" max="3840" width="11.5546875" style="196"/>
    <col min="3841" max="3841" width="7.44140625" style="196" customWidth="1"/>
    <col min="3842" max="3842" width="18.5546875" style="196" customWidth="1"/>
    <col min="3843" max="3843" width="17.44140625" style="196" customWidth="1"/>
    <col min="3844" max="3844" width="4.88671875" style="196" customWidth="1"/>
    <col min="3845" max="3845" width="7.44140625" style="196" customWidth="1"/>
    <col min="3846" max="3846" width="18.5546875" style="196" customWidth="1"/>
    <col min="3847" max="3847" width="17.44140625" style="196" customWidth="1"/>
    <col min="3848" max="3848" width="5.6640625" style="196" customWidth="1"/>
    <col min="3849" max="3849" width="17.33203125" style="196" customWidth="1"/>
    <col min="3850" max="3853" width="2" style="196" bestFit="1" customWidth="1"/>
    <col min="3854" max="4096" width="11.5546875" style="196"/>
    <col min="4097" max="4097" width="7.44140625" style="196" customWidth="1"/>
    <col min="4098" max="4098" width="18.5546875" style="196" customWidth="1"/>
    <col min="4099" max="4099" width="17.44140625" style="196" customWidth="1"/>
    <col min="4100" max="4100" width="4.88671875" style="196" customWidth="1"/>
    <col min="4101" max="4101" width="7.44140625" style="196" customWidth="1"/>
    <col min="4102" max="4102" width="18.5546875" style="196" customWidth="1"/>
    <col min="4103" max="4103" width="17.44140625" style="196" customWidth="1"/>
    <col min="4104" max="4104" width="5.6640625" style="196" customWidth="1"/>
    <col min="4105" max="4105" width="17.33203125" style="196" customWidth="1"/>
    <col min="4106" max="4109" width="2" style="196" bestFit="1" customWidth="1"/>
    <col min="4110" max="4352" width="11.5546875" style="196"/>
    <col min="4353" max="4353" width="7.44140625" style="196" customWidth="1"/>
    <col min="4354" max="4354" width="18.5546875" style="196" customWidth="1"/>
    <col min="4355" max="4355" width="17.44140625" style="196" customWidth="1"/>
    <col min="4356" max="4356" width="4.88671875" style="196" customWidth="1"/>
    <col min="4357" max="4357" width="7.44140625" style="196" customWidth="1"/>
    <col min="4358" max="4358" width="18.5546875" style="196" customWidth="1"/>
    <col min="4359" max="4359" width="17.44140625" style="196" customWidth="1"/>
    <col min="4360" max="4360" width="5.6640625" style="196" customWidth="1"/>
    <col min="4361" max="4361" width="17.33203125" style="196" customWidth="1"/>
    <col min="4362" max="4365" width="2" style="196" bestFit="1" customWidth="1"/>
    <col min="4366" max="4608" width="11.5546875" style="196"/>
    <col min="4609" max="4609" width="7.44140625" style="196" customWidth="1"/>
    <col min="4610" max="4610" width="18.5546875" style="196" customWidth="1"/>
    <col min="4611" max="4611" width="17.44140625" style="196" customWidth="1"/>
    <col min="4612" max="4612" width="4.88671875" style="196" customWidth="1"/>
    <col min="4613" max="4613" width="7.44140625" style="196" customWidth="1"/>
    <col min="4614" max="4614" width="18.5546875" style="196" customWidth="1"/>
    <col min="4615" max="4615" width="17.44140625" style="196" customWidth="1"/>
    <col min="4616" max="4616" width="5.6640625" style="196" customWidth="1"/>
    <col min="4617" max="4617" width="17.33203125" style="196" customWidth="1"/>
    <col min="4618" max="4621" width="2" style="196" bestFit="1" customWidth="1"/>
    <col min="4622" max="4864" width="11.5546875" style="196"/>
    <col min="4865" max="4865" width="7.44140625" style="196" customWidth="1"/>
    <col min="4866" max="4866" width="18.5546875" style="196" customWidth="1"/>
    <col min="4867" max="4867" width="17.44140625" style="196" customWidth="1"/>
    <col min="4868" max="4868" width="4.88671875" style="196" customWidth="1"/>
    <col min="4869" max="4869" width="7.44140625" style="196" customWidth="1"/>
    <col min="4870" max="4870" width="18.5546875" style="196" customWidth="1"/>
    <col min="4871" max="4871" width="17.44140625" style="196" customWidth="1"/>
    <col min="4872" max="4872" width="5.6640625" style="196" customWidth="1"/>
    <col min="4873" max="4873" width="17.33203125" style="196" customWidth="1"/>
    <col min="4874" max="4877" width="2" style="196" bestFit="1" customWidth="1"/>
    <col min="4878" max="5120" width="11.5546875" style="196"/>
    <col min="5121" max="5121" width="7.44140625" style="196" customWidth="1"/>
    <col min="5122" max="5122" width="18.5546875" style="196" customWidth="1"/>
    <col min="5123" max="5123" width="17.44140625" style="196" customWidth="1"/>
    <col min="5124" max="5124" width="4.88671875" style="196" customWidth="1"/>
    <col min="5125" max="5125" width="7.44140625" style="196" customWidth="1"/>
    <col min="5126" max="5126" width="18.5546875" style="196" customWidth="1"/>
    <col min="5127" max="5127" width="17.44140625" style="196" customWidth="1"/>
    <col min="5128" max="5128" width="5.6640625" style="196" customWidth="1"/>
    <col min="5129" max="5129" width="17.33203125" style="196" customWidth="1"/>
    <col min="5130" max="5133" width="2" style="196" bestFit="1" customWidth="1"/>
    <col min="5134" max="5376" width="11.5546875" style="196"/>
    <col min="5377" max="5377" width="7.44140625" style="196" customWidth="1"/>
    <col min="5378" max="5378" width="18.5546875" style="196" customWidth="1"/>
    <col min="5379" max="5379" width="17.44140625" style="196" customWidth="1"/>
    <col min="5380" max="5380" width="4.88671875" style="196" customWidth="1"/>
    <col min="5381" max="5381" width="7.44140625" style="196" customWidth="1"/>
    <col min="5382" max="5382" width="18.5546875" style="196" customWidth="1"/>
    <col min="5383" max="5383" width="17.44140625" style="196" customWidth="1"/>
    <col min="5384" max="5384" width="5.6640625" style="196" customWidth="1"/>
    <col min="5385" max="5385" width="17.33203125" style="196" customWidth="1"/>
    <col min="5386" max="5389" width="2" style="196" bestFit="1" customWidth="1"/>
    <col min="5390" max="5632" width="11.5546875" style="196"/>
    <col min="5633" max="5633" width="7.44140625" style="196" customWidth="1"/>
    <col min="5634" max="5634" width="18.5546875" style="196" customWidth="1"/>
    <col min="5635" max="5635" width="17.44140625" style="196" customWidth="1"/>
    <col min="5636" max="5636" width="4.88671875" style="196" customWidth="1"/>
    <col min="5637" max="5637" width="7.44140625" style="196" customWidth="1"/>
    <col min="5638" max="5638" width="18.5546875" style="196" customWidth="1"/>
    <col min="5639" max="5639" width="17.44140625" style="196" customWidth="1"/>
    <col min="5640" max="5640" width="5.6640625" style="196" customWidth="1"/>
    <col min="5641" max="5641" width="17.33203125" style="196" customWidth="1"/>
    <col min="5642" max="5645" width="2" style="196" bestFit="1" customWidth="1"/>
    <col min="5646" max="5888" width="11.5546875" style="196"/>
    <col min="5889" max="5889" width="7.44140625" style="196" customWidth="1"/>
    <col min="5890" max="5890" width="18.5546875" style="196" customWidth="1"/>
    <col min="5891" max="5891" width="17.44140625" style="196" customWidth="1"/>
    <col min="5892" max="5892" width="4.88671875" style="196" customWidth="1"/>
    <col min="5893" max="5893" width="7.44140625" style="196" customWidth="1"/>
    <col min="5894" max="5894" width="18.5546875" style="196" customWidth="1"/>
    <col min="5895" max="5895" width="17.44140625" style="196" customWidth="1"/>
    <col min="5896" max="5896" width="5.6640625" style="196" customWidth="1"/>
    <col min="5897" max="5897" width="17.33203125" style="196" customWidth="1"/>
    <col min="5898" max="5901" width="2" style="196" bestFit="1" customWidth="1"/>
    <col min="5902" max="6144" width="11.5546875" style="196"/>
    <col min="6145" max="6145" width="7.44140625" style="196" customWidth="1"/>
    <col min="6146" max="6146" width="18.5546875" style="196" customWidth="1"/>
    <col min="6147" max="6147" width="17.44140625" style="196" customWidth="1"/>
    <col min="6148" max="6148" width="4.88671875" style="196" customWidth="1"/>
    <col min="6149" max="6149" width="7.44140625" style="196" customWidth="1"/>
    <col min="6150" max="6150" width="18.5546875" style="196" customWidth="1"/>
    <col min="6151" max="6151" width="17.44140625" style="196" customWidth="1"/>
    <col min="6152" max="6152" width="5.6640625" style="196" customWidth="1"/>
    <col min="6153" max="6153" width="17.33203125" style="196" customWidth="1"/>
    <col min="6154" max="6157" width="2" style="196" bestFit="1" customWidth="1"/>
    <col min="6158" max="6400" width="11.5546875" style="196"/>
    <col min="6401" max="6401" width="7.44140625" style="196" customWidth="1"/>
    <col min="6402" max="6402" width="18.5546875" style="196" customWidth="1"/>
    <col min="6403" max="6403" width="17.44140625" style="196" customWidth="1"/>
    <col min="6404" max="6404" width="4.88671875" style="196" customWidth="1"/>
    <col min="6405" max="6405" width="7.44140625" style="196" customWidth="1"/>
    <col min="6406" max="6406" width="18.5546875" style="196" customWidth="1"/>
    <col min="6407" max="6407" width="17.44140625" style="196" customWidth="1"/>
    <col min="6408" max="6408" width="5.6640625" style="196" customWidth="1"/>
    <col min="6409" max="6409" width="17.33203125" style="196" customWidth="1"/>
    <col min="6410" max="6413" width="2" style="196" bestFit="1" customWidth="1"/>
    <col min="6414" max="6656" width="11.5546875" style="196"/>
    <col min="6657" max="6657" width="7.44140625" style="196" customWidth="1"/>
    <col min="6658" max="6658" width="18.5546875" style="196" customWidth="1"/>
    <col min="6659" max="6659" width="17.44140625" style="196" customWidth="1"/>
    <col min="6660" max="6660" width="4.88671875" style="196" customWidth="1"/>
    <col min="6661" max="6661" width="7.44140625" style="196" customWidth="1"/>
    <col min="6662" max="6662" width="18.5546875" style="196" customWidth="1"/>
    <col min="6663" max="6663" width="17.44140625" style="196" customWidth="1"/>
    <col min="6664" max="6664" width="5.6640625" style="196" customWidth="1"/>
    <col min="6665" max="6665" width="17.33203125" style="196" customWidth="1"/>
    <col min="6666" max="6669" width="2" style="196" bestFit="1" customWidth="1"/>
    <col min="6670" max="6912" width="11.5546875" style="196"/>
    <col min="6913" max="6913" width="7.44140625" style="196" customWidth="1"/>
    <col min="6914" max="6914" width="18.5546875" style="196" customWidth="1"/>
    <col min="6915" max="6915" width="17.44140625" style="196" customWidth="1"/>
    <col min="6916" max="6916" width="4.88671875" style="196" customWidth="1"/>
    <col min="6917" max="6917" width="7.44140625" style="196" customWidth="1"/>
    <col min="6918" max="6918" width="18.5546875" style="196" customWidth="1"/>
    <col min="6919" max="6919" width="17.44140625" style="196" customWidth="1"/>
    <col min="6920" max="6920" width="5.6640625" style="196" customWidth="1"/>
    <col min="6921" max="6921" width="17.33203125" style="196" customWidth="1"/>
    <col min="6922" max="6925" width="2" style="196" bestFit="1" customWidth="1"/>
    <col min="6926" max="7168" width="11.5546875" style="196"/>
    <col min="7169" max="7169" width="7.44140625" style="196" customWidth="1"/>
    <col min="7170" max="7170" width="18.5546875" style="196" customWidth="1"/>
    <col min="7171" max="7171" width="17.44140625" style="196" customWidth="1"/>
    <col min="7172" max="7172" width="4.88671875" style="196" customWidth="1"/>
    <col min="7173" max="7173" width="7.44140625" style="196" customWidth="1"/>
    <col min="7174" max="7174" width="18.5546875" style="196" customWidth="1"/>
    <col min="7175" max="7175" width="17.44140625" style="196" customWidth="1"/>
    <col min="7176" max="7176" width="5.6640625" style="196" customWidth="1"/>
    <col min="7177" max="7177" width="17.33203125" style="196" customWidth="1"/>
    <col min="7178" max="7181" width="2" style="196" bestFit="1" customWidth="1"/>
    <col min="7182" max="7424" width="11.5546875" style="196"/>
    <col min="7425" max="7425" width="7.44140625" style="196" customWidth="1"/>
    <col min="7426" max="7426" width="18.5546875" style="196" customWidth="1"/>
    <col min="7427" max="7427" width="17.44140625" style="196" customWidth="1"/>
    <col min="7428" max="7428" width="4.88671875" style="196" customWidth="1"/>
    <col min="7429" max="7429" width="7.44140625" style="196" customWidth="1"/>
    <col min="7430" max="7430" width="18.5546875" style="196" customWidth="1"/>
    <col min="7431" max="7431" width="17.44140625" style="196" customWidth="1"/>
    <col min="7432" max="7432" width="5.6640625" style="196" customWidth="1"/>
    <col min="7433" max="7433" width="17.33203125" style="196" customWidth="1"/>
    <col min="7434" max="7437" width="2" style="196" bestFit="1" customWidth="1"/>
    <col min="7438" max="7680" width="11.5546875" style="196"/>
    <col min="7681" max="7681" width="7.44140625" style="196" customWidth="1"/>
    <col min="7682" max="7682" width="18.5546875" style="196" customWidth="1"/>
    <col min="7683" max="7683" width="17.44140625" style="196" customWidth="1"/>
    <col min="7684" max="7684" width="4.88671875" style="196" customWidth="1"/>
    <col min="7685" max="7685" width="7.44140625" style="196" customWidth="1"/>
    <col min="7686" max="7686" width="18.5546875" style="196" customWidth="1"/>
    <col min="7687" max="7687" width="17.44140625" style="196" customWidth="1"/>
    <col min="7688" max="7688" width="5.6640625" style="196" customWidth="1"/>
    <col min="7689" max="7689" width="17.33203125" style="196" customWidth="1"/>
    <col min="7690" max="7693" width="2" style="196" bestFit="1" customWidth="1"/>
    <col min="7694" max="7936" width="11.5546875" style="196"/>
    <col min="7937" max="7937" width="7.44140625" style="196" customWidth="1"/>
    <col min="7938" max="7938" width="18.5546875" style="196" customWidth="1"/>
    <col min="7939" max="7939" width="17.44140625" style="196" customWidth="1"/>
    <col min="7940" max="7940" width="4.88671875" style="196" customWidth="1"/>
    <col min="7941" max="7941" width="7.44140625" style="196" customWidth="1"/>
    <col min="7942" max="7942" width="18.5546875" style="196" customWidth="1"/>
    <col min="7943" max="7943" width="17.44140625" style="196" customWidth="1"/>
    <col min="7944" max="7944" width="5.6640625" style="196" customWidth="1"/>
    <col min="7945" max="7945" width="17.33203125" style="196" customWidth="1"/>
    <col min="7946" max="7949" width="2" style="196" bestFit="1" customWidth="1"/>
    <col min="7950" max="8192" width="11.5546875" style="196"/>
    <col min="8193" max="8193" width="7.44140625" style="196" customWidth="1"/>
    <col min="8194" max="8194" width="18.5546875" style="196" customWidth="1"/>
    <col min="8195" max="8195" width="17.44140625" style="196" customWidth="1"/>
    <col min="8196" max="8196" width="4.88671875" style="196" customWidth="1"/>
    <col min="8197" max="8197" width="7.44140625" style="196" customWidth="1"/>
    <col min="8198" max="8198" width="18.5546875" style="196" customWidth="1"/>
    <col min="8199" max="8199" width="17.44140625" style="196" customWidth="1"/>
    <col min="8200" max="8200" width="5.6640625" style="196" customWidth="1"/>
    <col min="8201" max="8201" width="17.33203125" style="196" customWidth="1"/>
    <col min="8202" max="8205" width="2" style="196" bestFit="1" customWidth="1"/>
    <col min="8206" max="8448" width="11.5546875" style="196"/>
    <col min="8449" max="8449" width="7.44140625" style="196" customWidth="1"/>
    <col min="8450" max="8450" width="18.5546875" style="196" customWidth="1"/>
    <col min="8451" max="8451" width="17.44140625" style="196" customWidth="1"/>
    <col min="8452" max="8452" width="4.88671875" style="196" customWidth="1"/>
    <col min="8453" max="8453" width="7.44140625" style="196" customWidth="1"/>
    <col min="8454" max="8454" width="18.5546875" style="196" customWidth="1"/>
    <col min="8455" max="8455" width="17.44140625" style="196" customWidth="1"/>
    <col min="8456" max="8456" width="5.6640625" style="196" customWidth="1"/>
    <col min="8457" max="8457" width="17.33203125" style="196" customWidth="1"/>
    <col min="8458" max="8461" width="2" style="196" bestFit="1" customWidth="1"/>
    <col min="8462" max="8704" width="11.5546875" style="196"/>
    <col min="8705" max="8705" width="7.44140625" style="196" customWidth="1"/>
    <col min="8706" max="8706" width="18.5546875" style="196" customWidth="1"/>
    <col min="8707" max="8707" width="17.44140625" style="196" customWidth="1"/>
    <col min="8708" max="8708" width="4.88671875" style="196" customWidth="1"/>
    <col min="8709" max="8709" width="7.44140625" style="196" customWidth="1"/>
    <col min="8710" max="8710" width="18.5546875" style="196" customWidth="1"/>
    <col min="8711" max="8711" width="17.44140625" style="196" customWidth="1"/>
    <col min="8712" max="8712" width="5.6640625" style="196" customWidth="1"/>
    <col min="8713" max="8713" width="17.33203125" style="196" customWidth="1"/>
    <col min="8714" max="8717" width="2" style="196" bestFit="1" customWidth="1"/>
    <col min="8718" max="8960" width="11.5546875" style="196"/>
    <col min="8961" max="8961" width="7.44140625" style="196" customWidth="1"/>
    <col min="8962" max="8962" width="18.5546875" style="196" customWidth="1"/>
    <col min="8963" max="8963" width="17.44140625" style="196" customWidth="1"/>
    <col min="8964" max="8964" width="4.88671875" style="196" customWidth="1"/>
    <col min="8965" max="8965" width="7.44140625" style="196" customWidth="1"/>
    <col min="8966" max="8966" width="18.5546875" style="196" customWidth="1"/>
    <col min="8967" max="8967" width="17.44140625" style="196" customWidth="1"/>
    <col min="8968" max="8968" width="5.6640625" style="196" customWidth="1"/>
    <col min="8969" max="8969" width="17.33203125" style="196" customWidth="1"/>
    <col min="8970" max="8973" width="2" style="196" bestFit="1" customWidth="1"/>
    <col min="8974" max="9216" width="11.5546875" style="196"/>
    <col min="9217" max="9217" width="7.44140625" style="196" customWidth="1"/>
    <col min="9218" max="9218" width="18.5546875" style="196" customWidth="1"/>
    <col min="9219" max="9219" width="17.44140625" style="196" customWidth="1"/>
    <col min="9220" max="9220" width="4.88671875" style="196" customWidth="1"/>
    <col min="9221" max="9221" width="7.44140625" style="196" customWidth="1"/>
    <col min="9222" max="9222" width="18.5546875" style="196" customWidth="1"/>
    <col min="9223" max="9223" width="17.44140625" style="196" customWidth="1"/>
    <col min="9224" max="9224" width="5.6640625" style="196" customWidth="1"/>
    <col min="9225" max="9225" width="17.33203125" style="196" customWidth="1"/>
    <col min="9226" max="9229" width="2" style="196" bestFit="1" customWidth="1"/>
    <col min="9230" max="9472" width="11.5546875" style="196"/>
    <col min="9473" max="9473" width="7.44140625" style="196" customWidth="1"/>
    <col min="9474" max="9474" width="18.5546875" style="196" customWidth="1"/>
    <col min="9475" max="9475" width="17.44140625" style="196" customWidth="1"/>
    <col min="9476" max="9476" width="4.88671875" style="196" customWidth="1"/>
    <col min="9477" max="9477" width="7.44140625" style="196" customWidth="1"/>
    <col min="9478" max="9478" width="18.5546875" style="196" customWidth="1"/>
    <col min="9479" max="9479" width="17.44140625" style="196" customWidth="1"/>
    <col min="9480" max="9480" width="5.6640625" style="196" customWidth="1"/>
    <col min="9481" max="9481" width="17.33203125" style="196" customWidth="1"/>
    <col min="9482" max="9485" width="2" style="196" bestFit="1" customWidth="1"/>
    <col min="9486" max="9728" width="11.5546875" style="196"/>
    <col min="9729" max="9729" width="7.44140625" style="196" customWidth="1"/>
    <col min="9730" max="9730" width="18.5546875" style="196" customWidth="1"/>
    <col min="9731" max="9731" width="17.44140625" style="196" customWidth="1"/>
    <col min="9732" max="9732" width="4.88671875" style="196" customWidth="1"/>
    <col min="9733" max="9733" width="7.44140625" style="196" customWidth="1"/>
    <col min="9734" max="9734" width="18.5546875" style="196" customWidth="1"/>
    <col min="9735" max="9735" width="17.44140625" style="196" customWidth="1"/>
    <col min="9736" max="9736" width="5.6640625" style="196" customWidth="1"/>
    <col min="9737" max="9737" width="17.33203125" style="196" customWidth="1"/>
    <col min="9738" max="9741" width="2" style="196" bestFit="1" customWidth="1"/>
    <col min="9742" max="9984" width="11.5546875" style="196"/>
    <col min="9985" max="9985" width="7.44140625" style="196" customWidth="1"/>
    <col min="9986" max="9986" width="18.5546875" style="196" customWidth="1"/>
    <col min="9987" max="9987" width="17.44140625" style="196" customWidth="1"/>
    <col min="9988" max="9988" width="4.88671875" style="196" customWidth="1"/>
    <col min="9989" max="9989" width="7.44140625" style="196" customWidth="1"/>
    <col min="9990" max="9990" width="18.5546875" style="196" customWidth="1"/>
    <col min="9991" max="9991" width="17.44140625" style="196" customWidth="1"/>
    <col min="9992" max="9992" width="5.6640625" style="196" customWidth="1"/>
    <col min="9993" max="9993" width="17.33203125" style="196" customWidth="1"/>
    <col min="9994" max="9997" width="2" style="196" bestFit="1" customWidth="1"/>
    <col min="9998" max="10240" width="11.5546875" style="196"/>
    <col min="10241" max="10241" width="7.44140625" style="196" customWidth="1"/>
    <col min="10242" max="10242" width="18.5546875" style="196" customWidth="1"/>
    <col min="10243" max="10243" width="17.44140625" style="196" customWidth="1"/>
    <col min="10244" max="10244" width="4.88671875" style="196" customWidth="1"/>
    <col min="10245" max="10245" width="7.44140625" style="196" customWidth="1"/>
    <col min="10246" max="10246" width="18.5546875" style="196" customWidth="1"/>
    <col min="10247" max="10247" width="17.44140625" style="196" customWidth="1"/>
    <col min="10248" max="10248" width="5.6640625" style="196" customWidth="1"/>
    <col min="10249" max="10249" width="17.33203125" style="196" customWidth="1"/>
    <col min="10250" max="10253" width="2" style="196" bestFit="1" customWidth="1"/>
    <col min="10254" max="10496" width="11.5546875" style="196"/>
    <col min="10497" max="10497" width="7.44140625" style="196" customWidth="1"/>
    <col min="10498" max="10498" width="18.5546875" style="196" customWidth="1"/>
    <col min="10499" max="10499" width="17.44140625" style="196" customWidth="1"/>
    <col min="10500" max="10500" width="4.88671875" style="196" customWidth="1"/>
    <col min="10501" max="10501" width="7.44140625" style="196" customWidth="1"/>
    <col min="10502" max="10502" width="18.5546875" style="196" customWidth="1"/>
    <col min="10503" max="10503" width="17.44140625" style="196" customWidth="1"/>
    <col min="10504" max="10504" width="5.6640625" style="196" customWidth="1"/>
    <col min="10505" max="10505" width="17.33203125" style="196" customWidth="1"/>
    <col min="10506" max="10509" width="2" style="196" bestFit="1" customWidth="1"/>
    <col min="10510" max="10752" width="11.5546875" style="196"/>
    <col min="10753" max="10753" width="7.44140625" style="196" customWidth="1"/>
    <col min="10754" max="10754" width="18.5546875" style="196" customWidth="1"/>
    <col min="10755" max="10755" width="17.44140625" style="196" customWidth="1"/>
    <col min="10756" max="10756" width="4.88671875" style="196" customWidth="1"/>
    <col min="10757" max="10757" width="7.44140625" style="196" customWidth="1"/>
    <col min="10758" max="10758" width="18.5546875" style="196" customWidth="1"/>
    <col min="10759" max="10759" width="17.44140625" style="196" customWidth="1"/>
    <col min="10760" max="10760" width="5.6640625" style="196" customWidth="1"/>
    <col min="10761" max="10761" width="17.33203125" style="196" customWidth="1"/>
    <col min="10762" max="10765" width="2" style="196" bestFit="1" customWidth="1"/>
    <col min="10766" max="11008" width="11.5546875" style="196"/>
    <col min="11009" max="11009" width="7.44140625" style="196" customWidth="1"/>
    <col min="11010" max="11010" width="18.5546875" style="196" customWidth="1"/>
    <col min="11011" max="11011" width="17.44140625" style="196" customWidth="1"/>
    <col min="11012" max="11012" width="4.88671875" style="196" customWidth="1"/>
    <col min="11013" max="11013" width="7.44140625" style="196" customWidth="1"/>
    <col min="11014" max="11014" width="18.5546875" style="196" customWidth="1"/>
    <col min="11015" max="11015" width="17.44140625" style="196" customWidth="1"/>
    <col min="11016" max="11016" width="5.6640625" style="196" customWidth="1"/>
    <col min="11017" max="11017" width="17.33203125" style="196" customWidth="1"/>
    <col min="11018" max="11021" width="2" style="196" bestFit="1" customWidth="1"/>
    <col min="11022" max="11264" width="11.5546875" style="196"/>
    <col min="11265" max="11265" width="7.44140625" style="196" customWidth="1"/>
    <col min="11266" max="11266" width="18.5546875" style="196" customWidth="1"/>
    <col min="11267" max="11267" width="17.44140625" style="196" customWidth="1"/>
    <col min="11268" max="11268" width="4.88671875" style="196" customWidth="1"/>
    <col min="11269" max="11269" width="7.44140625" style="196" customWidth="1"/>
    <col min="11270" max="11270" width="18.5546875" style="196" customWidth="1"/>
    <col min="11271" max="11271" width="17.44140625" style="196" customWidth="1"/>
    <col min="11272" max="11272" width="5.6640625" style="196" customWidth="1"/>
    <col min="11273" max="11273" width="17.33203125" style="196" customWidth="1"/>
    <col min="11274" max="11277" width="2" style="196" bestFit="1" customWidth="1"/>
    <col min="11278" max="11520" width="11.5546875" style="196"/>
    <col min="11521" max="11521" width="7.44140625" style="196" customWidth="1"/>
    <col min="11522" max="11522" width="18.5546875" style="196" customWidth="1"/>
    <col min="11523" max="11523" width="17.44140625" style="196" customWidth="1"/>
    <col min="11524" max="11524" width="4.88671875" style="196" customWidth="1"/>
    <col min="11525" max="11525" width="7.44140625" style="196" customWidth="1"/>
    <col min="11526" max="11526" width="18.5546875" style="196" customWidth="1"/>
    <col min="11527" max="11527" width="17.44140625" style="196" customWidth="1"/>
    <col min="11528" max="11528" width="5.6640625" style="196" customWidth="1"/>
    <col min="11529" max="11529" width="17.33203125" style="196" customWidth="1"/>
    <col min="11530" max="11533" width="2" style="196" bestFit="1" customWidth="1"/>
    <col min="11534" max="11776" width="11.5546875" style="196"/>
    <col min="11777" max="11777" width="7.44140625" style="196" customWidth="1"/>
    <col min="11778" max="11778" width="18.5546875" style="196" customWidth="1"/>
    <col min="11779" max="11779" width="17.44140625" style="196" customWidth="1"/>
    <col min="11780" max="11780" width="4.88671875" style="196" customWidth="1"/>
    <col min="11781" max="11781" width="7.44140625" style="196" customWidth="1"/>
    <col min="11782" max="11782" width="18.5546875" style="196" customWidth="1"/>
    <col min="11783" max="11783" width="17.44140625" style="196" customWidth="1"/>
    <col min="11784" max="11784" width="5.6640625" style="196" customWidth="1"/>
    <col min="11785" max="11785" width="17.33203125" style="196" customWidth="1"/>
    <col min="11786" max="11789" width="2" style="196" bestFit="1" customWidth="1"/>
    <col min="11790" max="12032" width="11.5546875" style="196"/>
    <col min="12033" max="12033" width="7.44140625" style="196" customWidth="1"/>
    <col min="12034" max="12034" width="18.5546875" style="196" customWidth="1"/>
    <col min="12035" max="12035" width="17.44140625" style="196" customWidth="1"/>
    <col min="12036" max="12036" width="4.88671875" style="196" customWidth="1"/>
    <col min="12037" max="12037" width="7.44140625" style="196" customWidth="1"/>
    <col min="12038" max="12038" width="18.5546875" style="196" customWidth="1"/>
    <col min="12039" max="12039" width="17.44140625" style="196" customWidth="1"/>
    <col min="12040" max="12040" width="5.6640625" style="196" customWidth="1"/>
    <col min="12041" max="12041" width="17.33203125" style="196" customWidth="1"/>
    <col min="12042" max="12045" width="2" style="196" bestFit="1" customWidth="1"/>
    <col min="12046" max="12288" width="11.5546875" style="196"/>
    <col min="12289" max="12289" width="7.44140625" style="196" customWidth="1"/>
    <col min="12290" max="12290" width="18.5546875" style="196" customWidth="1"/>
    <col min="12291" max="12291" width="17.44140625" style="196" customWidth="1"/>
    <col min="12292" max="12292" width="4.88671875" style="196" customWidth="1"/>
    <col min="12293" max="12293" width="7.44140625" style="196" customWidth="1"/>
    <col min="12294" max="12294" width="18.5546875" style="196" customWidth="1"/>
    <col min="12295" max="12295" width="17.44140625" style="196" customWidth="1"/>
    <col min="12296" max="12296" width="5.6640625" style="196" customWidth="1"/>
    <col min="12297" max="12297" width="17.33203125" style="196" customWidth="1"/>
    <col min="12298" max="12301" width="2" style="196" bestFit="1" customWidth="1"/>
    <col min="12302" max="12544" width="11.5546875" style="196"/>
    <col min="12545" max="12545" width="7.44140625" style="196" customWidth="1"/>
    <col min="12546" max="12546" width="18.5546875" style="196" customWidth="1"/>
    <col min="12547" max="12547" width="17.44140625" style="196" customWidth="1"/>
    <col min="12548" max="12548" width="4.88671875" style="196" customWidth="1"/>
    <col min="12549" max="12549" width="7.44140625" style="196" customWidth="1"/>
    <col min="12550" max="12550" width="18.5546875" style="196" customWidth="1"/>
    <col min="12551" max="12551" width="17.44140625" style="196" customWidth="1"/>
    <col min="12552" max="12552" width="5.6640625" style="196" customWidth="1"/>
    <col min="12553" max="12553" width="17.33203125" style="196" customWidth="1"/>
    <col min="12554" max="12557" width="2" style="196" bestFit="1" customWidth="1"/>
    <col min="12558" max="12800" width="11.5546875" style="196"/>
    <col min="12801" max="12801" width="7.44140625" style="196" customWidth="1"/>
    <col min="12802" max="12802" width="18.5546875" style="196" customWidth="1"/>
    <col min="12803" max="12803" width="17.44140625" style="196" customWidth="1"/>
    <col min="12804" max="12804" width="4.88671875" style="196" customWidth="1"/>
    <col min="12805" max="12805" width="7.44140625" style="196" customWidth="1"/>
    <col min="12806" max="12806" width="18.5546875" style="196" customWidth="1"/>
    <col min="12807" max="12807" width="17.44140625" style="196" customWidth="1"/>
    <col min="12808" max="12808" width="5.6640625" style="196" customWidth="1"/>
    <col min="12809" max="12809" width="17.33203125" style="196" customWidth="1"/>
    <col min="12810" max="12813" width="2" style="196" bestFit="1" customWidth="1"/>
    <col min="12814" max="13056" width="11.5546875" style="196"/>
    <col min="13057" max="13057" width="7.44140625" style="196" customWidth="1"/>
    <col min="13058" max="13058" width="18.5546875" style="196" customWidth="1"/>
    <col min="13059" max="13059" width="17.44140625" style="196" customWidth="1"/>
    <col min="13060" max="13060" width="4.88671875" style="196" customWidth="1"/>
    <col min="13061" max="13061" width="7.44140625" style="196" customWidth="1"/>
    <col min="13062" max="13062" width="18.5546875" style="196" customWidth="1"/>
    <col min="13063" max="13063" width="17.44140625" style="196" customWidth="1"/>
    <col min="13064" max="13064" width="5.6640625" style="196" customWidth="1"/>
    <col min="13065" max="13065" width="17.33203125" style="196" customWidth="1"/>
    <col min="13066" max="13069" width="2" style="196" bestFit="1" customWidth="1"/>
    <col min="13070" max="13312" width="11.5546875" style="196"/>
    <col min="13313" max="13313" width="7.44140625" style="196" customWidth="1"/>
    <col min="13314" max="13314" width="18.5546875" style="196" customWidth="1"/>
    <col min="13315" max="13315" width="17.44140625" style="196" customWidth="1"/>
    <col min="13316" max="13316" width="4.88671875" style="196" customWidth="1"/>
    <col min="13317" max="13317" width="7.44140625" style="196" customWidth="1"/>
    <col min="13318" max="13318" width="18.5546875" style="196" customWidth="1"/>
    <col min="13319" max="13319" width="17.44140625" style="196" customWidth="1"/>
    <col min="13320" max="13320" width="5.6640625" style="196" customWidth="1"/>
    <col min="13321" max="13321" width="17.33203125" style="196" customWidth="1"/>
    <col min="13322" max="13325" width="2" style="196" bestFit="1" customWidth="1"/>
    <col min="13326" max="13568" width="11.5546875" style="196"/>
    <col min="13569" max="13569" width="7.44140625" style="196" customWidth="1"/>
    <col min="13570" max="13570" width="18.5546875" style="196" customWidth="1"/>
    <col min="13571" max="13571" width="17.44140625" style="196" customWidth="1"/>
    <col min="13572" max="13572" width="4.88671875" style="196" customWidth="1"/>
    <col min="13573" max="13573" width="7.44140625" style="196" customWidth="1"/>
    <col min="13574" max="13574" width="18.5546875" style="196" customWidth="1"/>
    <col min="13575" max="13575" width="17.44140625" style="196" customWidth="1"/>
    <col min="13576" max="13576" width="5.6640625" style="196" customWidth="1"/>
    <col min="13577" max="13577" width="17.33203125" style="196" customWidth="1"/>
    <col min="13578" max="13581" width="2" style="196" bestFit="1" customWidth="1"/>
    <col min="13582" max="13824" width="11.5546875" style="196"/>
    <col min="13825" max="13825" width="7.44140625" style="196" customWidth="1"/>
    <col min="13826" max="13826" width="18.5546875" style="196" customWidth="1"/>
    <col min="13827" max="13827" width="17.44140625" style="196" customWidth="1"/>
    <col min="13828" max="13828" width="4.88671875" style="196" customWidth="1"/>
    <col min="13829" max="13829" width="7.44140625" style="196" customWidth="1"/>
    <col min="13830" max="13830" width="18.5546875" style="196" customWidth="1"/>
    <col min="13831" max="13831" width="17.44140625" style="196" customWidth="1"/>
    <col min="13832" max="13832" width="5.6640625" style="196" customWidth="1"/>
    <col min="13833" max="13833" width="17.33203125" style="196" customWidth="1"/>
    <col min="13834" max="13837" width="2" style="196" bestFit="1" customWidth="1"/>
    <col min="13838" max="14080" width="11.5546875" style="196"/>
    <col min="14081" max="14081" width="7.44140625" style="196" customWidth="1"/>
    <col min="14082" max="14082" width="18.5546875" style="196" customWidth="1"/>
    <col min="14083" max="14083" width="17.44140625" style="196" customWidth="1"/>
    <col min="14084" max="14084" width="4.88671875" style="196" customWidth="1"/>
    <col min="14085" max="14085" width="7.44140625" style="196" customWidth="1"/>
    <col min="14086" max="14086" width="18.5546875" style="196" customWidth="1"/>
    <col min="14087" max="14087" width="17.44140625" style="196" customWidth="1"/>
    <col min="14088" max="14088" width="5.6640625" style="196" customWidth="1"/>
    <col min="14089" max="14089" width="17.33203125" style="196" customWidth="1"/>
    <col min="14090" max="14093" width="2" style="196" bestFit="1" customWidth="1"/>
    <col min="14094" max="14336" width="11.5546875" style="196"/>
    <col min="14337" max="14337" width="7.44140625" style="196" customWidth="1"/>
    <col min="14338" max="14338" width="18.5546875" style="196" customWidth="1"/>
    <col min="14339" max="14339" width="17.44140625" style="196" customWidth="1"/>
    <col min="14340" max="14340" width="4.88671875" style="196" customWidth="1"/>
    <col min="14341" max="14341" width="7.44140625" style="196" customWidth="1"/>
    <col min="14342" max="14342" width="18.5546875" style="196" customWidth="1"/>
    <col min="14343" max="14343" width="17.44140625" style="196" customWidth="1"/>
    <col min="14344" max="14344" width="5.6640625" style="196" customWidth="1"/>
    <col min="14345" max="14345" width="17.33203125" style="196" customWidth="1"/>
    <col min="14346" max="14349" width="2" style="196" bestFit="1" customWidth="1"/>
    <col min="14350" max="14592" width="11.5546875" style="196"/>
    <col min="14593" max="14593" width="7.44140625" style="196" customWidth="1"/>
    <col min="14594" max="14594" width="18.5546875" style="196" customWidth="1"/>
    <col min="14595" max="14595" width="17.44140625" style="196" customWidth="1"/>
    <col min="14596" max="14596" width="4.88671875" style="196" customWidth="1"/>
    <col min="14597" max="14597" width="7.44140625" style="196" customWidth="1"/>
    <col min="14598" max="14598" width="18.5546875" style="196" customWidth="1"/>
    <col min="14599" max="14599" width="17.44140625" style="196" customWidth="1"/>
    <col min="14600" max="14600" width="5.6640625" style="196" customWidth="1"/>
    <col min="14601" max="14601" width="17.33203125" style="196" customWidth="1"/>
    <col min="14602" max="14605" width="2" style="196" bestFit="1" customWidth="1"/>
    <col min="14606" max="14848" width="11.5546875" style="196"/>
    <col min="14849" max="14849" width="7.44140625" style="196" customWidth="1"/>
    <col min="14850" max="14850" width="18.5546875" style="196" customWidth="1"/>
    <col min="14851" max="14851" width="17.44140625" style="196" customWidth="1"/>
    <col min="14852" max="14852" width="4.88671875" style="196" customWidth="1"/>
    <col min="14853" max="14853" width="7.44140625" style="196" customWidth="1"/>
    <col min="14854" max="14854" width="18.5546875" style="196" customWidth="1"/>
    <col min="14855" max="14855" width="17.44140625" style="196" customWidth="1"/>
    <col min="14856" max="14856" width="5.6640625" style="196" customWidth="1"/>
    <col min="14857" max="14857" width="17.33203125" style="196" customWidth="1"/>
    <col min="14858" max="14861" width="2" style="196" bestFit="1" customWidth="1"/>
    <col min="14862" max="15104" width="11.5546875" style="196"/>
    <col min="15105" max="15105" width="7.44140625" style="196" customWidth="1"/>
    <col min="15106" max="15106" width="18.5546875" style="196" customWidth="1"/>
    <col min="15107" max="15107" width="17.44140625" style="196" customWidth="1"/>
    <col min="15108" max="15108" width="4.88671875" style="196" customWidth="1"/>
    <col min="15109" max="15109" width="7.44140625" style="196" customWidth="1"/>
    <col min="15110" max="15110" width="18.5546875" style="196" customWidth="1"/>
    <col min="15111" max="15111" width="17.44140625" style="196" customWidth="1"/>
    <col min="15112" max="15112" width="5.6640625" style="196" customWidth="1"/>
    <col min="15113" max="15113" width="17.33203125" style="196" customWidth="1"/>
    <col min="15114" max="15117" width="2" style="196" bestFit="1" customWidth="1"/>
    <col min="15118" max="15360" width="11.5546875" style="196"/>
    <col min="15361" max="15361" width="7.44140625" style="196" customWidth="1"/>
    <col min="15362" max="15362" width="18.5546875" style="196" customWidth="1"/>
    <col min="15363" max="15363" width="17.44140625" style="196" customWidth="1"/>
    <col min="15364" max="15364" width="4.88671875" style="196" customWidth="1"/>
    <col min="15365" max="15365" width="7.44140625" style="196" customWidth="1"/>
    <col min="15366" max="15366" width="18.5546875" style="196" customWidth="1"/>
    <col min="15367" max="15367" width="17.44140625" style="196" customWidth="1"/>
    <col min="15368" max="15368" width="5.6640625" style="196" customWidth="1"/>
    <col min="15369" max="15369" width="17.33203125" style="196" customWidth="1"/>
    <col min="15370" max="15373" width="2" style="196" bestFit="1" customWidth="1"/>
    <col min="15374" max="15616" width="11.5546875" style="196"/>
    <col min="15617" max="15617" width="7.44140625" style="196" customWidth="1"/>
    <col min="15618" max="15618" width="18.5546875" style="196" customWidth="1"/>
    <col min="15619" max="15619" width="17.44140625" style="196" customWidth="1"/>
    <col min="15620" max="15620" width="4.88671875" style="196" customWidth="1"/>
    <col min="15621" max="15621" width="7.44140625" style="196" customWidth="1"/>
    <col min="15622" max="15622" width="18.5546875" style="196" customWidth="1"/>
    <col min="15623" max="15623" width="17.44140625" style="196" customWidth="1"/>
    <col min="15624" max="15624" width="5.6640625" style="196" customWidth="1"/>
    <col min="15625" max="15625" width="17.33203125" style="196" customWidth="1"/>
    <col min="15626" max="15629" width="2" style="196" bestFit="1" customWidth="1"/>
    <col min="15630" max="15872" width="11.5546875" style="196"/>
    <col min="15873" max="15873" width="7.44140625" style="196" customWidth="1"/>
    <col min="15874" max="15874" width="18.5546875" style="196" customWidth="1"/>
    <col min="15875" max="15875" width="17.44140625" style="196" customWidth="1"/>
    <col min="15876" max="15876" width="4.88671875" style="196" customWidth="1"/>
    <col min="15877" max="15877" width="7.44140625" style="196" customWidth="1"/>
    <col min="15878" max="15878" width="18.5546875" style="196" customWidth="1"/>
    <col min="15879" max="15879" width="17.44140625" style="196" customWidth="1"/>
    <col min="15880" max="15880" width="5.6640625" style="196" customWidth="1"/>
    <col min="15881" max="15881" width="17.33203125" style="196" customWidth="1"/>
    <col min="15882" max="15885" width="2" style="196" bestFit="1" customWidth="1"/>
    <col min="15886" max="16128" width="11.5546875" style="196"/>
    <col min="16129" max="16129" width="7.44140625" style="196" customWidth="1"/>
    <col min="16130" max="16130" width="18.5546875" style="196" customWidth="1"/>
    <col min="16131" max="16131" width="17.44140625" style="196" customWidth="1"/>
    <col min="16132" max="16132" width="4.88671875" style="196" customWidth="1"/>
    <col min="16133" max="16133" width="7.44140625" style="196" customWidth="1"/>
    <col min="16134" max="16134" width="18.5546875" style="196" customWidth="1"/>
    <col min="16135" max="16135" width="17.44140625" style="196" customWidth="1"/>
    <col min="16136" max="16136" width="5.6640625" style="196" customWidth="1"/>
    <col min="16137" max="16137" width="17.33203125" style="196" customWidth="1"/>
    <col min="16138" max="16141" width="2" style="196" bestFit="1" customWidth="1"/>
    <col min="16142" max="16384" width="11.5546875" style="196"/>
  </cols>
  <sheetData>
    <row r="1" spans="1:15" ht="30" customHeight="1">
      <c r="A1" s="194" t="s">
        <v>444</v>
      </c>
      <c r="B1" s="194"/>
      <c r="C1" s="194"/>
      <c r="D1" s="194"/>
      <c r="E1" s="194"/>
      <c r="F1" s="194"/>
      <c r="G1" s="194"/>
      <c r="H1" s="195"/>
    </row>
    <row r="2" spans="1:15" ht="30" customHeight="1">
      <c r="A2" s="197" t="s">
        <v>426</v>
      </c>
      <c r="B2" s="197"/>
      <c r="C2" s="197"/>
      <c r="D2" s="197"/>
      <c r="E2" s="197"/>
      <c r="F2" s="197"/>
      <c r="G2" s="197"/>
      <c r="H2" s="195"/>
    </row>
    <row r="3" spans="1:15" ht="30" customHeight="1">
      <c r="A3" s="197" t="s">
        <v>427</v>
      </c>
      <c r="B3" s="197"/>
      <c r="C3" s="197"/>
      <c r="D3" s="197"/>
      <c r="E3" s="197"/>
      <c r="F3" s="197"/>
      <c r="G3" s="197"/>
      <c r="H3" s="195"/>
    </row>
    <row r="4" spans="1:15" ht="30" customHeight="1">
      <c r="A4" s="197" t="s">
        <v>428</v>
      </c>
      <c r="B4" s="197"/>
      <c r="C4" s="197"/>
      <c r="D4" s="197"/>
      <c r="E4" s="197"/>
      <c r="F4" s="197"/>
      <c r="G4" s="197"/>
      <c r="H4" s="195"/>
    </row>
    <row r="5" spans="1:15" ht="30" customHeight="1">
      <c r="D5" s="198"/>
      <c r="H5" s="199"/>
    </row>
    <row r="6" spans="1:15" ht="15" customHeight="1">
      <c r="A6" s="200" t="e">
        <f>I14&amp;" ("&amp;N14&amp;")"</f>
        <v>#N/A</v>
      </c>
      <c r="B6" s="200"/>
      <c r="C6" s="200"/>
      <c r="D6" s="198"/>
      <c r="E6" s="200" t="e">
        <f>I17&amp;" ("&amp;N17&amp;")"</f>
        <v>#N/A</v>
      </c>
      <c r="F6" s="200"/>
      <c r="G6" s="200"/>
      <c r="H6" s="199"/>
    </row>
    <row r="7" spans="1:15" ht="15" customHeight="1">
      <c r="A7" s="200" t="e">
        <f>I15&amp;" ("&amp;N15&amp;")"</f>
        <v>#N/A</v>
      </c>
      <c r="B7" s="200"/>
      <c r="C7" s="200"/>
      <c r="D7" s="198"/>
      <c r="E7" s="200" t="e">
        <f>I18&amp;" ("&amp;N18&amp;")"</f>
        <v>#N/A</v>
      </c>
      <c r="F7" s="200"/>
      <c r="G7" s="200"/>
      <c r="H7" s="199"/>
    </row>
    <row r="8" spans="1:15" ht="15" customHeight="1">
      <c r="A8" s="200" t="e">
        <f>I16&amp;" ("&amp;N16&amp;")"</f>
        <v>#N/A</v>
      </c>
      <c r="B8" s="200"/>
      <c r="C8" s="200"/>
      <c r="D8" s="198"/>
      <c r="E8" s="201"/>
      <c r="F8" s="201"/>
      <c r="G8" s="201"/>
      <c r="H8" s="199"/>
    </row>
    <row r="9" spans="1:15" ht="15" customHeight="1">
      <c r="A9" s="201"/>
      <c r="B9" s="201"/>
      <c r="C9" s="201"/>
      <c r="D9" s="201"/>
      <c r="E9" s="201"/>
      <c r="F9" s="201"/>
      <c r="G9" s="201"/>
      <c r="H9" s="199"/>
    </row>
    <row r="10" spans="1:15" ht="15" customHeight="1">
      <c r="A10" s="202" t="s">
        <v>22</v>
      </c>
      <c r="B10" s="203"/>
      <c r="C10" s="204"/>
      <c r="D10" s="205"/>
      <c r="E10" s="202" t="s">
        <v>23</v>
      </c>
      <c r="F10" s="203"/>
      <c r="G10" s="204"/>
      <c r="H10" s="199"/>
      <c r="I10" s="199"/>
      <c r="J10" s="206"/>
    </row>
    <row r="11" spans="1:15" ht="15" customHeight="1">
      <c r="A11" s="205"/>
      <c r="B11" s="207"/>
      <c r="C11" s="207"/>
      <c r="D11" s="205"/>
      <c r="E11" s="205"/>
      <c r="F11" s="207"/>
      <c r="G11" s="207"/>
      <c r="H11" s="199"/>
      <c r="I11" s="199"/>
    </row>
    <row r="12" spans="1:15" ht="15" customHeight="1">
      <c r="A12" s="208" t="s">
        <v>200</v>
      </c>
      <c r="B12" s="202" t="s">
        <v>77</v>
      </c>
      <c r="C12" s="204"/>
      <c r="D12" s="199"/>
      <c r="E12" s="209" t="s">
        <v>201</v>
      </c>
      <c r="F12" s="210" t="str">
        <f>I18</f>
        <v>Equipe 4</v>
      </c>
      <c r="G12" s="211" t="s">
        <v>113</v>
      </c>
      <c r="H12" s="199"/>
      <c r="I12" s="199"/>
      <c r="J12" s="212"/>
    </row>
    <row r="13" spans="1:15" ht="15" customHeight="1">
      <c r="A13" s="205"/>
      <c r="B13" s="207"/>
      <c r="C13" s="207"/>
      <c r="D13" s="199"/>
      <c r="E13" s="213"/>
      <c r="F13" s="210" t="str">
        <f>I14</f>
        <v>Equipe 1</v>
      </c>
      <c r="G13" s="214" t="str">
        <f>I17</f>
        <v>Equipe 2</v>
      </c>
      <c r="H13" s="199"/>
      <c r="J13" s="212"/>
    </row>
    <row r="14" spans="1:15" ht="15" customHeight="1">
      <c r="A14" s="209" t="s">
        <v>26</v>
      </c>
      <c r="B14" s="210" t="str">
        <f>I14</f>
        <v>Equipe 1</v>
      </c>
      <c r="C14" s="211" t="s">
        <v>113</v>
      </c>
      <c r="D14" s="199"/>
      <c r="E14" s="199"/>
      <c r="F14" s="215"/>
      <c r="G14" s="216"/>
      <c r="H14" s="199"/>
      <c r="I14" s="217" t="s">
        <v>429</v>
      </c>
      <c r="J14" s="218">
        <f>COUNTIF($B$13:$B$28,I14)+COUNTIF($F$12:$F$27,I14)</f>
        <v>4</v>
      </c>
      <c r="K14" s="218">
        <f>COUNTIF($B$13:$B$28,I14)</f>
        <v>2</v>
      </c>
      <c r="L14" s="218">
        <f>COUNTIF($F$12:$F$27,I14)</f>
        <v>2</v>
      </c>
      <c r="M14" s="218">
        <f>COUNTIF($C$13:$C$28,I14)+COUNTIF($G$12:$G$27,I14)</f>
        <v>2</v>
      </c>
      <c r="N14" s="196" t="e">
        <f>VLOOKUP(I14,'club-ville'!A:B,2,FALSE)</f>
        <v>#N/A</v>
      </c>
      <c r="O14" s="217">
        <v>1</v>
      </c>
    </row>
    <row r="15" spans="1:15" ht="15" customHeight="1">
      <c r="A15" s="213"/>
      <c r="B15" s="210" t="str">
        <f>I15</f>
        <v>Equipe 5</v>
      </c>
      <c r="C15" s="214" t="str">
        <f>I16</f>
        <v>Equipe 3</v>
      </c>
      <c r="D15" s="199"/>
      <c r="E15" s="209" t="s">
        <v>396</v>
      </c>
      <c r="F15" s="210" t="str">
        <f>I15</f>
        <v>Equipe 5</v>
      </c>
      <c r="G15" s="211" t="s">
        <v>113</v>
      </c>
      <c r="H15" s="199"/>
      <c r="I15" s="217" t="s">
        <v>433</v>
      </c>
      <c r="J15" s="218">
        <f>COUNTIF($B$13:$B$28,I15)+COUNTIF($F$12:$F$27,I15)</f>
        <v>4</v>
      </c>
      <c r="K15" s="218">
        <f>COUNTIF($B$13:$B$28,I15)</f>
        <v>2</v>
      </c>
      <c r="L15" s="218">
        <f>COUNTIF($F$12:$F$27,I15)</f>
        <v>2</v>
      </c>
      <c r="M15" s="218">
        <f t="shared" ref="M15:M19" si="0">COUNTIF($C$13:$C$28,I15)+COUNTIF($G$12:$G$27,I15)</f>
        <v>2</v>
      </c>
      <c r="N15" s="196" t="e">
        <f>VLOOKUP(I15,'club-ville'!A:B,2,FALSE)</f>
        <v>#N/A</v>
      </c>
      <c r="O15" s="217">
        <v>5</v>
      </c>
    </row>
    <row r="16" spans="1:15" ht="15" customHeight="1">
      <c r="A16" s="199"/>
      <c r="B16" s="215"/>
      <c r="C16" s="216"/>
      <c r="D16" s="219"/>
      <c r="E16" s="213"/>
      <c r="F16" s="210" t="str">
        <f>I16</f>
        <v>Equipe 3</v>
      </c>
      <c r="G16" s="214" t="str">
        <f>I18</f>
        <v>Equipe 4</v>
      </c>
      <c r="H16" s="199"/>
      <c r="I16" s="217" t="s">
        <v>431</v>
      </c>
      <c r="J16" s="218">
        <f>COUNTIF($B$13:$B$28,I16)+COUNTIF($F$12:$F$27,I16)</f>
        <v>4</v>
      </c>
      <c r="K16" s="218">
        <f>COUNTIF($B$13:$B$28,I16)</f>
        <v>2</v>
      </c>
      <c r="L16" s="218">
        <f>COUNTIF($F$12:$F$27,I16)</f>
        <v>2</v>
      </c>
      <c r="M16" s="218">
        <f t="shared" si="0"/>
        <v>2</v>
      </c>
      <c r="N16" s="196" t="e">
        <f>VLOOKUP(I16,'club-ville'!A:B,2,FALSE)</f>
        <v>#N/A</v>
      </c>
      <c r="O16" s="217">
        <v>3</v>
      </c>
    </row>
    <row r="17" spans="1:15" ht="15" customHeight="1">
      <c r="A17" s="209" t="s">
        <v>28</v>
      </c>
      <c r="B17" s="210" t="str">
        <f>I18</f>
        <v>Equipe 4</v>
      </c>
      <c r="C17" s="211" t="s">
        <v>113</v>
      </c>
      <c r="D17" s="199"/>
      <c r="E17" s="199"/>
      <c r="F17" s="215"/>
      <c r="G17" s="220"/>
      <c r="H17" s="199"/>
      <c r="I17" s="217" t="s">
        <v>430</v>
      </c>
      <c r="J17" s="218">
        <f>COUNTIF($B$13:$B$28,I17)+COUNTIF($F$12:$F$27,I17)</f>
        <v>4</v>
      </c>
      <c r="K17" s="218">
        <f>COUNTIF($B$13:$B$28,I17)</f>
        <v>2</v>
      </c>
      <c r="L17" s="218">
        <f>COUNTIF($F$12:$F$27,I17)</f>
        <v>2</v>
      </c>
      <c r="M17" s="218">
        <f t="shared" si="0"/>
        <v>2</v>
      </c>
      <c r="N17" s="196" t="e">
        <f>VLOOKUP(I17,'club-ville'!A:B,2,FALSE)</f>
        <v>#N/A</v>
      </c>
      <c r="O17" s="217">
        <v>2</v>
      </c>
    </row>
    <row r="18" spans="1:15" ht="15" customHeight="1">
      <c r="A18" s="213"/>
      <c r="B18" s="210" t="str">
        <f>I17</f>
        <v>Equipe 2</v>
      </c>
      <c r="C18" s="214" t="str">
        <f>I15</f>
        <v>Equipe 5</v>
      </c>
      <c r="D18" s="199"/>
      <c r="E18" s="209" t="s">
        <v>202</v>
      </c>
      <c r="F18" s="210" t="str">
        <f>I14</f>
        <v>Equipe 1</v>
      </c>
      <c r="G18" s="211" t="s">
        <v>113</v>
      </c>
      <c r="H18" s="199"/>
      <c r="I18" s="217" t="s">
        <v>432</v>
      </c>
      <c r="J18" s="218">
        <f>COUNTIF($B$13:$B$28,I18)+COUNTIF($F$12:$F$27,I18)</f>
        <v>4</v>
      </c>
      <c r="K18" s="218">
        <f>COUNTIF($B$13:$B$28,I18)</f>
        <v>2</v>
      </c>
      <c r="L18" s="218">
        <f>COUNTIF($F$12:$F$27,I18)</f>
        <v>2</v>
      </c>
      <c r="M18" s="218">
        <f t="shared" si="0"/>
        <v>2</v>
      </c>
      <c r="N18" s="196" t="e">
        <f>VLOOKUP(I18,'club-ville'!A:B,2,FALSE)</f>
        <v>#N/A</v>
      </c>
      <c r="O18" s="217">
        <v>4</v>
      </c>
    </row>
    <row r="19" spans="1:15" ht="15" customHeight="1">
      <c r="A19" s="199"/>
      <c r="B19" s="215"/>
      <c r="C19" s="220"/>
      <c r="D19" s="219"/>
      <c r="E19" s="213"/>
      <c r="F19" s="210" t="str">
        <f>I17</f>
        <v>Equipe 2</v>
      </c>
      <c r="G19" s="214" t="str">
        <f>I15</f>
        <v>Equipe 5</v>
      </c>
      <c r="H19" s="199"/>
      <c r="I19" s="221" t="s">
        <v>30</v>
      </c>
      <c r="J19" s="218"/>
      <c r="K19" s="218"/>
      <c r="L19" s="218"/>
      <c r="M19" s="218">
        <f t="shared" si="0"/>
        <v>0</v>
      </c>
    </row>
    <row r="20" spans="1:15" ht="15" customHeight="1">
      <c r="A20" s="209" t="s">
        <v>31</v>
      </c>
      <c r="B20" s="210" t="str">
        <f>I16</f>
        <v>Equipe 3</v>
      </c>
      <c r="C20" s="211" t="s">
        <v>113</v>
      </c>
      <c r="D20" s="199"/>
      <c r="E20" s="199"/>
      <c r="F20" s="215"/>
      <c r="G20" s="216"/>
      <c r="H20" s="199"/>
      <c r="M20" s="212"/>
    </row>
    <row r="21" spans="1:15" ht="15" customHeight="1">
      <c r="A21" s="213"/>
      <c r="B21" s="210" t="str">
        <f>I14</f>
        <v>Equipe 1</v>
      </c>
      <c r="C21" s="214" t="str">
        <f>I17</f>
        <v>Equipe 2</v>
      </c>
      <c r="D21" s="199"/>
      <c r="E21" s="209" t="s">
        <v>203</v>
      </c>
      <c r="F21" s="210" t="str">
        <f>I16</f>
        <v>Equipe 3</v>
      </c>
      <c r="G21" s="211" t="s">
        <v>113</v>
      </c>
      <c r="H21" s="199"/>
    </row>
    <row r="22" spans="1:15" ht="15" customHeight="1">
      <c r="A22" s="222"/>
      <c r="B22" s="223"/>
      <c r="C22" s="216"/>
      <c r="D22" s="219"/>
      <c r="E22" s="213"/>
      <c r="F22" s="210" t="str">
        <f>I18</f>
        <v>Equipe 4</v>
      </c>
      <c r="G22" s="214" t="str">
        <f>I14</f>
        <v>Equipe 1</v>
      </c>
      <c r="H22" s="199"/>
    </row>
    <row r="23" spans="1:15" ht="15" customHeight="1">
      <c r="A23" s="209" t="s">
        <v>33</v>
      </c>
      <c r="B23" s="210" t="str">
        <f>I15</f>
        <v>Equipe 5</v>
      </c>
      <c r="C23" s="211" t="s">
        <v>113</v>
      </c>
      <c r="D23" s="199"/>
      <c r="E23" s="199"/>
      <c r="F23" s="215"/>
      <c r="G23" s="224"/>
      <c r="H23" s="199"/>
      <c r="J23" s="225"/>
      <c r="K23" s="225"/>
    </row>
    <row r="24" spans="1:15" ht="15" customHeight="1">
      <c r="A24" s="213"/>
      <c r="B24" s="210" t="str">
        <f>I18</f>
        <v>Equipe 4</v>
      </c>
      <c r="C24" s="214" t="str">
        <f>I14</f>
        <v>Equipe 1</v>
      </c>
      <c r="D24" s="199"/>
      <c r="E24" s="209" t="s">
        <v>133</v>
      </c>
      <c r="F24" s="210" t="str">
        <f>I17</f>
        <v>Equipe 2</v>
      </c>
      <c r="G24" s="211" t="s">
        <v>113</v>
      </c>
      <c r="H24" s="199"/>
      <c r="J24" s="225"/>
      <c r="K24" s="225"/>
    </row>
    <row r="25" spans="1:15" ht="15" customHeight="1">
      <c r="A25" s="222"/>
      <c r="B25" s="223"/>
      <c r="C25" s="224"/>
      <c r="D25" s="219"/>
      <c r="E25" s="213"/>
      <c r="F25" s="210" t="str">
        <f>I15</f>
        <v>Equipe 5</v>
      </c>
      <c r="G25" s="214" t="str">
        <f>I16</f>
        <v>Equipe 3</v>
      </c>
      <c r="H25" s="199"/>
      <c r="J25" s="219"/>
      <c r="K25" s="219"/>
    </row>
    <row r="26" spans="1:15" ht="15" customHeight="1">
      <c r="A26" s="209" t="s">
        <v>35</v>
      </c>
      <c r="B26" s="210" t="str">
        <f>I17</f>
        <v>Equipe 2</v>
      </c>
      <c r="C26" s="211" t="s">
        <v>113</v>
      </c>
      <c r="D26" s="199"/>
      <c r="H26" s="199"/>
      <c r="J26" s="217"/>
      <c r="K26" s="217"/>
    </row>
    <row r="27" spans="1:15" ht="15" customHeight="1">
      <c r="A27" s="213"/>
      <c r="B27" s="210" t="str">
        <f>I16</f>
        <v>Equipe 3</v>
      </c>
      <c r="C27" s="214" t="str">
        <f>I18</f>
        <v>Equipe 4</v>
      </c>
      <c r="D27" s="199"/>
      <c r="H27" s="199"/>
      <c r="I27" s="225"/>
      <c r="J27" s="225"/>
      <c r="K27" s="225"/>
    </row>
    <row r="28" spans="1:15" ht="15" customHeight="1">
      <c r="A28" s="199"/>
      <c r="B28" s="216"/>
      <c r="C28" s="220"/>
      <c r="D28" s="219"/>
      <c r="H28" s="199"/>
      <c r="I28" s="225"/>
      <c r="J28" s="225"/>
      <c r="K28" s="225"/>
    </row>
    <row r="29" spans="1:15" ht="15" customHeight="1">
      <c r="A29" s="226" t="s">
        <v>463</v>
      </c>
      <c r="B29" s="226"/>
      <c r="C29" s="226"/>
      <c r="D29" s="226"/>
      <c r="E29" s="226"/>
      <c r="F29" s="226"/>
      <c r="G29" s="226"/>
      <c r="H29" s="199"/>
    </row>
    <row r="30" spans="1:15" ht="15" customHeight="1">
      <c r="A30" s="226"/>
      <c r="B30" s="226"/>
      <c r="C30" s="226"/>
      <c r="D30" s="226"/>
      <c r="E30" s="226"/>
      <c r="F30" s="226"/>
      <c r="G30" s="226"/>
      <c r="H30" s="199"/>
    </row>
    <row r="31" spans="1:15" ht="15" customHeight="1">
      <c r="A31" s="226"/>
      <c r="B31" s="226"/>
      <c r="C31" s="226"/>
      <c r="D31" s="226"/>
      <c r="E31" s="226"/>
      <c r="F31" s="226"/>
      <c r="G31" s="226"/>
      <c r="H31" s="199"/>
    </row>
    <row r="32" spans="1:15" ht="15" customHeight="1">
      <c r="A32" s="227"/>
      <c r="B32" s="227"/>
      <c r="C32" s="227"/>
      <c r="D32" s="219"/>
      <c r="F32" s="219"/>
      <c r="G32" s="228"/>
    </row>
    <row r="33" spans="1:10" ht="15" customHeight="1">
      <c r="A33" s="229" t="s">
        <v>114</v>
      </c>
      <c r="B33" s="229"/>
      <c r="C33" s="229"/>
      <c r="D33" s="229"/>
      <c r="E33" s="229"/>
      <c r="F33" s="229"/>
      <c r="G33" s="229"/>
    </row>
    <row r="34" spans="1:10" ht="15" customHeight="1">
      <c r="A34" s="229"/>
      <c r="B34" s="229"/>
      <c r="C34" s="229"/>
      <c r="D34" s="229"/>
      <c r="E34" s="229"/>
      <c r="F34" s="229"/>
      <c r="G34" s="229"/>
    </row>
    <row r="35" spans="1:10" ht="15" customHeight="1">
      <c r="A35" s="229"/>
      <c r="B35" s="229"/>
      <c r="C35" s="229"/>
      <c r="D35" s="229"/>
      <c r="E35" s="229"/>
      <c r="F35" s="229"/>
      <c r="G35" s="229"/>
    </row>
    <row r="36" spans="1:10" ht="15" customHeight="1">
      <c r="A36" s="230"/>
      <c r="B36" s="230"/>
      <c r="C36" s="230"/>
      <c r="D36" s="230"/>
      <c r="E36" s="230"/>
      <c r="F36" s="230"/>
      <c r="G36" s="230"/>
    </row>
    <row r="37" spans="1:10" ht="15" customHeight="1">
      <c r="C37" s="231" t="s">
        <v>464</v>
      </c>
      <c r="D37" s="232"/>
      <c r="E37" s="232"/>
      <c r="F37" s="233"/>
    </row>
    <row r="38" spans="1:10" ht="15" customHeight="1">
      <c r="C38" s="234" t="s">
        <v>465</v>
      </c>
      <c r="D38" s="235"/>
      <c r="E38" s="235"/>
      <c r="F38" s="236"/>
    </row>
    <row r="39" spans="1:10" ht="30" customHeight="1">
      <c r="A39" s="194" t="s">
        <v>444</v>
      </c>
      <c r="B39" s="194"/>
      <c r="C39" s="194"/>
      <c r="D39" s="194"/>
      <c r="E39" s="194"/>
      <c r="F39" s="194"/>
      <c r="G39" s="194"/>
      <c r="H39" s="199"/>
    </row>
    <row r="40" spans="1:10" ht="30" customHeight="1">
      <c r="A40" s="197" t="s">
        <v>426</v>
      </c>
      <c r="B40" s="197"/>
      <c r="C40" s="197"/>
      <c r="D40" s="197"/>
      <c r="E40" s="197"/>
      <c r="F40" s="197"/>
      <c r="G40" s="197"/>
      <c r="H40" s="199"/>
    </row>
    <row r="41" spans="1:10" ht="30" customHeight="1">
      <c r="A41" s="197" t="s">
        <v>427</v>
      </c>
      <c r="B41" s="197"/>
      <c r="C41" s="197"/>
      <c r="D41" s="197"/>
      <c r="E41" s="197"/>
      <c r="F41" s="197"/>
      <c r="G41" s="197"/>
      <c r="H41" s="199"/>
    </row>
    <row r="42" spans="1:10" ht="30" customHeight="1">
      <c r="A42" s="197" t="s">
        <v>428</v>
      </c>
      <c r="B42" s="197"/>
      <c r="C42" s="197"/>
      <c r="D42" s="197"/>
      <c r="E42" s="197"/>
      <c r="F42" s="197"/>
      <c r="G42" s="197"/>
      <c r="H42" s="199"/>
    </row>
    <row r="43" spans="1:10" ht="30" customHeight="1">
      <c r="D43" s="198"/>
      <c r="H43" s="199"/>
    </row>
    <row r="44" spans="1:10" ht="15" customHeight="1">
      <c r="A44" s="200" t="e">
        <f>I51&amp;" ("&amp;N51&amp;")"</f>
        <v>#N/A</v>
      </c>
      <c r="B44" s="200"/>
      <c r="C44" s="200"/>
      <c r="D44" s="198"/>
      <c r="E44" s="200" t="e">
        <f>I54&amp;" ("&amp;N54&amp;")"</f>
        <v>#N/A</v>
      </c>
      <c r="F44" s="200"/>
      <c r="G44" s="200"/>
      <c r="H44" s="199"/>
    </row>
    <row r="45" spans="1:10" ht="15" customHeight="1">
      <c r="A45" s="200" t="e">
        <f>I52&amp;" ("&amp;N52&amp;")"</f>
        <v>#N/A</v>
      </c>
      <c r="B45" s="200"/>
      <c r="C45" s="200"/>
      <c r="D45" s="198"/>
      <c r="E45" s="200" t="e">
        <f>I55&amp;" ("&amp;N55&amp;")"</f>
        <v>#N/A</v>
      </c>
      <c r="F45" s="200"/>
      <c r="G45" s="200"/>
      <c r="H45" s="199"/>
    </row>
    <row r="46" spans="1:10" ht="15" customHeight="1">
      <c r="A46" s="200" t="e">
        <f>I53&amp;" ("&amp;N53&amp;")"</f>
        <v>#N/A</v>
      </c>
      <c r="B46" s="200"/>
      <c r="C46" s="200"/>
      <c r="D46" s="198"/>
      <c r="E46" s="201"/>
      <c r="F46" s="201"/>
      <c r="G46" s="201"/>
      <c r="H46" s="199"/>
    </row>
    <row r="47" spans="1:10" ht="15" customHeight="1">
      <c r="A47" s="201"/>
      <c r="B47" s="201"/>
      <c r="C47" s="201"/>
      <c r="D47" s="201"/>
      <c r="E47" s="201"/>
      <c r="F47" s="201"/>
      <c r="G47" s="201"/>
      <c r="H47" s="199"/>
      <c r="I47" s="199"/>
      <c r="J47" s="206"/>
    </row>
    <row r="48" spans="1:10" ht="15" customHeight="1">
      <c r="A48" s="202" t="s">
        <v>22</v>
      </c>
      <c r="B48" s="203"/>
      <c r="C48" s="204"/>
      <c r="D48" s="205"/>
      <c r="E48" s="202" t="s">
        <v>23</v>
      </c>
      <c r="F48" s="203"/>
      <c r="G48" s="204"/>
      <c r="H48" s="199"/>
      <c r="I48" s="199"/>
    </row>
    <row r="49" spans="1:15" ht="15" customHeight="1">
      <c r="A49" s="205"/>
      <c r="B49" s="207"/>
      <c r="C49" s="207"/>
      <c r="D49" s="205"/>
      <c r="E49" s="205"/>
      <c r="F49" s="207"/>
      <c r="G49" s="207"/>
      <c r="H49" s="199"/>
      <c r="I49" s="199"/>
      <c r="J49" s="212"/>
    </row>
    <row r="50" spans="1:15" ht="15" customHeight="1">
      <c r="A50" s="208" t="s">
        <v>200</v>
      </c>
      <c r="B50" s="202" t="s">
        <v>77</v>
      </c>
      <c r="C50" s="204"/>
      <c r="D50" s="199"/>
      <c r="E50" s="209" t="s">
        <v>201</v>
      </c>
      <c r="F50" s="210" t="str">
        <f>I55</f>
        <v>5e</v>
      </c>
      <c r="G50" s="237" t="s">
        <v>113</v>
      </c>
      <c r="H50" s="199"/>
      <c r="J50" s="212"/>
    </row>
    <row r="51" spans="1:15" ht="15" customHeight="1">
      <c r="A51" s="205"/>
      <c r="B51" s="207"/>
      <c r="C51" s="207"/>
      <c r="D51" s="199"/>
      <c r="E51" s="213"/>
      <c r="F51" s="210" t="str">
        <f>I51</f>
        <v>1er</v>
      </c>
      <c r="G51" s="238" t="str">
        <f>I54</f>
        <v>4e</v>
      </c>
      <c r="H51" s="199"/>
      <c r="I51" s="239" t="str">
        <f>'Résultats à 5'!I11:J11</f>
        <v>1er</v>
      </c>
      <c r="J51" s="218">
        <f>COUNTIF($B$51:$B$66,I51)+COUNTIF($F$50:$F$65,I51)</f>
        <v>4</v>
      </c>
      <c r="K51" s="218">
        <f>COUNTIF($B$51:$B$66,I51)</f>
        <v>2</v>
      </c>
      <c r="L51" s="218">
        <f>COUNTIF($F$50:$F$65,I51)</f>
        <v>2</v>
      </c>
      <c r="M51" s="218">
        <f>COUNTIF($C$51:$C$66,I51)+COUNTIF($G$50:$G$65,I51)</f>
        <v>2</v>
      </c>
      <c r="N51" s="196" t="e">
        <f>VLOOKUP(I51,'club-ville'!A:B,2,FALSE)</f>
        <v>#N/A</v>
      </c>
      <c r="O51" s="217">
        <v>1</v>
      </c>
    </row>
    <row r="52" spans="1:15" ht="15" customHeight="1">
      <c r="A52" s="209" t="s">
        <v>26</v>
      </c>
      <c r="B52" s="210" t="str">
        <f>I51</f>
        <v>1er</v>
      </c>
      <c r="C52" s="237" t="s">
        <v>113</v>
      </c>
      <c r="D52" s="199"/>
      <c r="E52" s="199"/>
      <c r="F52" s="215"/>
      <c r="G52" s="216"/>
      <c r="H52" s="199"/>
      <c r="I52" s="239" t="str">
        <f>'Résultats à 5'!I12:J12</f>
        <v>2e</v>
      </c>
      <c r="J52" s="218">
        <f>COUNTIF($B$51:$B$66,I52)+COUNTIF($F$50:$F$65,I52)</f>
        <v>4</v>
      </c>
      <c r="K52" s="218">
        <f>COUNTIF($B$51:$B$66,I52)</f>
        <v>2</v>
      </c>
      <c r="L52" s="218">
        <f>COUNTIF($F$50:$F$65,I52)</f>
        <v>2</v>
      </c>
      <c r="M52" s="218">
        <f t="shared" ref="M52:M56" si="1">COUNTIF($C$51:$C$66,I52)+COUNTIF($G$50:$G$65,I52)</f>
        <v>2</v>
      </c>
      <c r="N52" s="196" t="e">
        <f>VLOOKUP(I52,'club-ville'!A:B,2,FALSE)</f>
        <v>#N/A</v>
      </c>
      <c r="O52" s="217">
        <v>5</v>
      </c>
    </row>
    <row r="53" spans="1:15" ht="15" customHeight="1">
      <c r="A53" s="213"/>
      <c r="B53" s="210" t="str">
        <f>I52</f>
        <v>2e</v>
      </c>
      <c r="C53" s="238" t="str">
        <f>I53</f>
        <v>3e</v>
      </c>
      <c r="D53" s="199"/>
      <c r="E53" s="209" t="s">
        <v>396</v>
      </c>
      <c r="F53" s="210" t="str">
        <f>I52</f>
        <v>2e</v>
      </c>
      <c r="G53" s="237" t="s">
        <v>113</v>
      </c>
      <c r="H53" s="199"/>
      <c r="I53" s="239" t="str">
        <f>'Résultats à 5'!I13:J13</f>
        <v>3e</v>
      </c>
      <c r="J53" s="218">
        <f>COUNTIF($B$51:$B$66,I53)+COUNTIF($F$50:$F$65,I53)</f>
        <v>4</v>
      </c>
      <c r="K53" s="218">
        <f>COUNTIF($B$51:$B$66,I53)</f>
        <v>2</v>
      </c>
      <c r="L53" s="218">
        <f>COUNTIF($F$50:$F$65,I53)</f>
        <v>2</v>
      </c>
      <c r="M53" s="218">
        <f t="shared" si="1"/>
        <v>2</v>
      </c>
      <c r="N53" s="196" t="e">
        <f>VLOOKUP(I53,'club-ville'!A:B,2,FALSE)</f>
        <v>#N/A</v>
      </c>
      <c r="O53" s="217">
        <v>3</v>
      </c>
    </row>
    <row r="54" spans="1:15" ht="15" customHeight="1">
      <c r="A54" s="199"/>
      <c r="B54" s="215"/>
      <c r="C54" s="216"/>
      <c r="D54" s="219"/>
      <c r="E54" s="213"/>
      <c r="F54" s="210" t="str">
        <f>I53</f>
        <v>3e</v>
      </c>
      <c r="G54" s="238" t="str">
        <f>I55</f>
        <v>5e</v>
      </c>
      <c r="H54" s="199"/>
      <c r="I54" s="239" t="str">
        <f>'Résultats à 5'!I14:J14</f>
        <v>4e</v>
      </c>
      <c r="J54" s="218">
        <f>COUNTIF($B$51:$B$66,I54)+COUNTIF($F$50:$F$65,I54)</f>
        <v>4</v>
      </c>
      <c r="K54" s="218">
        <f>COUNTIF($B$51:$B$66,I54)</f>
        <v>2</v>
      </c>
      <c r="L54" s="218">
        <f>COUNTIF($F$50:$F$65,I54)</f>
        <v>2</v>
      </c>
      <c r="M54" s="218">
        <f t="shared" si="1"/>
        <v>2</v>
      </c>
      <c r="N54" s="196" t="e">
        <f>VLOOKUP(I54,'club-ville'!A:B,2,FALSE)</f>
        <v>#N/A</v>
      </c>
      <c r="O54" s="217">
        <v>2</v>
      </c>
    </row>
    <row r="55" spans="1:15" ht="15" customHeight="1">
      <c r="A55" s="209" t="s">
        <v>28</v>
      </c>
      <c r="B55" s="210" t="str">
        <f>I55</f>
        <v>5e</v>
      </c>
      <c r="C55" s="237" t="s">
        <v>113</v>
      </c>
      <c r="D55" s="199"/>
      <c r="E55" s="199"/>
      <c r="F55" s="215"/>
      <c r="G55" s="220"/>
      <c r="H55" s="199"/>
      <c r="I55" s="239" t="str">
        <f>'Résultats à 5'!I15:J15</f>
        <v>5e</v>
      </c>
      <c r="J55" s="218">
        <f>COUNTIF($B$51:$B$66,I55)+COUNTIF($F$50:$F$65,I55)</f>
        <v>4</v>
      </c>
      <c r="K55" s="218">
        <f>COUNTIF($B$51:$B$66,I55)</f>
        <v>2</v>
      </c>
      <c r="L55" s="218">
        <f>COUNTIF($F$50:$F$65,I55)</f>
        <v>2</v>
      </c>
      <c r="M55" s="218">
        <f t="shared" si="1"/>
        <v>2</v>
      </c>
      <c r="N55" s="196" t="e">
        <f>VLOOKUP(I55,'club-ville'!A:B,2,FALSE)</f>
        <v>#N/A</v>
      </c>
      <c r="O55" s="217">
        <v>4</v>
      </c>
    </row>
    <row r="56" spans="1:15" ht="15" customHeight="1">
      <c r="A56" s="213"/>
      <c r="B56" s="210" t="str">
        <f>I54</f>
        <v>4e</v>
      </c>
      <c r="C56" s="238" t="str">
        <f>I52</f>
        <v>2e</v>
      </c>
      <c r="D56" s="199"/>
      <c r="E56" s="209" t="s">
        <v>202</v>
      </c>
      <c r="F56" s="210" t="str">
        <f>I51</f>
        <v>1er</v>
      </c>
      <c r="G56" s="237" t="s">
        <v>113</v>
      </c>
      <c r="H56" s="199"/>
      <c r="I56" s="221" t="s">
        <v>30</v>
      </c>
      <c r="J56" s="218"/>
      <c r="K56" s="218"/>
      <c r="L56" s="218"/>
      <c r="M56" s="218">
        <f t="shared" si="1"/>
        <v>0</v>
      </c>
    </row>
    <row r="57" spans="1:15" ht="15" customHeight="1">
      <c r="A57" s="199"/>
      <c r="B57" s="215"/>
      <c r="C57" s="220"/>
      <c r="D57" s="219"/>
      <c r="E57" s="213"/>
      <c r="F57" s="210" t="str">
        <f>I54</f>
        <v>4e</v>
      </c>
      <c r="G57" s="238" t="str">
        <f>I52</f>
        <v>2e</v>
      </c>
      <c r="H57" s="199"/>
      <c r="M57" s="212"/>
    </row>
    <row r="58" spans="1:15" ht="15" customHeight="1">
      <c r="A58" s="209" t="s">
        <v>31</v>
      </c>
      <c r="B58" s="210" t="str">
        <f>I53</f>
        <v>3e</v>
      </c>
      <c r="C58" s="237" t="s">
        <v>113</v>
      </c>
      <c r="D58" s="199"/>
      <c r="E58" s="199"/>
      <c r="F58" s="215"/>
      <c r="G58" s="216"/>
      <c r="H58" s="199"/>
    </row>
    <row r="59" spans="1:15" ht="15" customHeight="1">
      <c r="A59" s="213"/>
      <c r="B59" s="210" t="str">
        <f>I51</f>
        <v>1er</v>
      </c>
      <c r="C59" s="238" t="str">
        <f>I54</f>
        <v>4e</v>
      </c>
      <c r="D59" s="199"/>
      <c r="E59" s="209" t="s">
        <v>203</v>
      </c>
      <c r="F59" s="210" t="str">
        <f>I53</f>
        <v>3e</v>
      </c>
      <c r="G59" s="237" t="s">
        <v>113</v>
      </c>
      <c r="H59" s="199"/>
    </row>
    <row r="60" spans="1:15" ht="15" customHeight="1">
      <c r="A60" s="222"/>
      <c r="B60" s="223"/>
      <c r="C60" s="216"/>
      <c r="D60" s="219"/>
      <c r="E60" s="213"/>
      <c r="F60" s="210" t="str">
        <f>I55</f>
        <v>5e</v>
      </c>
      <c r="G60" s="238" t="str">
        <f>I51</f>
        <v>1er</v>
      </c>
      <c r="H60" s="199"/>
      <c r="J60" s="225"/>
      <c r="K60" s="225"/>
    </row>
    <row r="61" spans="1:15" ht="15" customHeight="1">
      <c r="A61" s="209" t="s">
        <v>33</v>
      </c>
      <c r="B61" s="210" t="str">
        <f>I52</f>
        <v>2e</v>
      </c>
      <c r="C61" s="237" t="s">
        <v>113</v>
      </c>
      <c r="D61" s="199"/>
      <c r="E61" s="199"/>
      <c r="F61" s="215"/>
      <c r="G61" s="224"/>
      <c r="H61" s="199"/>
      <c r="J61" s="225"/>
      <c r="K61" s="225"/>
    </row>
    <row r="62" spans="1:15" ht="15" customHeight="1">
      <c r="A62" s="213"/>
      <c r="B62" s="210" t="str">
        <f>I55</f>
        <v>5e</v>
      </c>
      <c r="C62" s="238" t="str">
        <f>I51</f>
        <v>1er</v>
      </c>
      <c r="D62" s="199"/>
      <c r="E62" s="209" t="s">
        <v>133</v>
      </c>
      <c r="F62" s="210" t="str">
        <f>I54</f>
        <v>4e</v>
      </c>
      <c r="G62" s="237" t="s">
        <v>113</v>
      </c>
      <c r="H62" s="199"/>
      <c r="J62" s="219"/>
      <c r="K62" s="219"/>
    </row>
    <row r="63" spans="1:15" ht="15" customHeight="1">
      <c r="A63" s="222"/>
      <c r="B63" s="223"/>
      <c r="C63" s="224"/>
      <c r="D63" s="219"/>
      <c r="E63" s="213"/>
      <c r="F63" s="210" t="str">
        <f>I52</f>
        <v>2e</v>
      </c>
      <c r="G63" s="238" t="str">
        <f>I53</f>
        <v>3e</v>
      </c>
      <c r="H63" s="199"/>
      <c r="J63" s="217"/>
      <c r="K63" s="217"/>
    </row>
    <row r="64" spans="1:15" ht="15" customHeight="1">
      <c r="A64" s="209" t="s">
        <v>35</v>
      </c>
      <c r="B64" s="210" t="str">
        <f>I54</f>
        <v>4e</v>
      </c>
      <c r="C64" s="237" t="s">
        <v>113</v>
      </c>
      <c r="D64" s="199"/>
      <c r="H64" s="199"/>
      <c r="I64" s="225"/>
      <c r="J64" s="225"/>
      <c r="K64" s="225"/>
    </row>
    <row r="65" spans="1:11" ht="15" customHeight="1">
      <c r="A65" s="213"/>
      <c r="B65" s="210" t="str">
        <f>I53</f>
        <v>3e</v>
      </c>
      <c r="C65" s="238" t="str">
        <f>I55</f>
        <v>5e</v>
      </c>
      <c r="D65" s="199"/>
      <c r="H65" s="199"/>
      <c r="I65" s="225"/>
      <c r="J65" s="225"/>
      <c r="K65" s="225"/>
    </row>
    <row r="66" spans="1:11" ht="15" customHeight="1">
      <c r="A66" s="199"/>
      <c r="B66" s="216"/>
      <c r="C66" s="220"/>
      <c r="D66" s="219"/>
      <c r="H66" s="199"/>
    </row>
    <row r="67" spans="1:11" ht="15" customHeight="1">
      <c r="A67" s="226" t="s">
        <v>463</v>
      </c>
      <c r="B67" s="226"/>
      <c r="C67" s="226"/>
      <c r="D67" s="226"/>
      <c r="E67" s="226"/>
      <c r="F67" s="226"/>
      <c r="G67" s="226"/>
      <c r="H67" s="199"/>
    </row>
    <row r="68" spans="1:11" ht="15" customHeight="1">
      <c r="A68" s="226"/>
      <c r="B68" s="226"/>
      <c r="C68" s="226"/>
      <c r="D68" s="226"/>
      <c r="E68" s="226"/>
      <c r="F68" s="226"/>
      <c r="G68" s="226"/>
      <c r="H68" s="199"/>
    </row>
    <row r="69" spans="1:11" ht="15" customHeight="1">
      <c r="A69" s="226"/>
      <c r="B69" s="226"/>
      <c r="C69" s="226"/>
      <c r="D69" s="226"/>
      <c r="E69" s="226"/>
      <c r="F69" s="226"/>
      <c r="G69" s="226"/>
      <c r="H69" s="199"/>
    </row>
    <row r="70" spans="1:11" ht="15" customHeight="1">
      <c r="A70" s="227"/>
      <c r="B70" s="227"/>
      <c r="C70" s="227"/>
      <c r="D70" s="219"/>
      <c r="F70" s="219"/>
      <c r="G70" s="228"/>
    </row>
    <row r="71" spans="1:11" ht="15" customHeight="1">
      <c r="A71" s="229" t="s">
        <v>114</v>
      </c>
      <c r="B71" s="229"/>
      <c r="C71" s="229"/>
      <c r="D71" s="229"/>
      <c r="E71" s="229"/>
      <c r="F71" s="229"/>
      <c r="G71" s="229"/>
    </row>
    <row r="72" spans="1:11" ht="15" customHeight="1">
      <c r="A72" s="229"/>
      <c r="B72" s="229"/>
      <c r="C72" s="229"/>
      <c r="D72" s="229"/>
      <c r="E72" s="229"/>
      <c r="F72" s="229"/>
      <c r="G72" s="229"/>
    </row>
    <row r="73" spans="1:11" ht="15" customHeight="1">
      <c r="A73" s="229"/>
      <c r="B73" s="229"/>
      <c r="C73" s="229"/>
      <c r="D73" s="229"/>
      <c r="E73" s="229"/>
      <c r="F73" s="229"/>
      <c r="G73" s="229"/>
    </row>
    <row r="75" spans="1:11" ht="15" customHeight="1">
      <c r="C75" s="231" t="s">
        <v>464</v>
      </c>
      <c r="D75" s="232"/>
      <c r="E75" s="232"/>
      <c r="F75" s="233"/>
    </row>
    <row r="76" spans="1:11" ht="15" customHeight="1">
      <c r="C76" s="234" t="s">
        <v>465</v>
      </c>
      <c r="D76" s="235"/>
      <c r="E76" s="235"/>
      <c r="F76" s="236"/>
    </row>
    <row r="77" spans="1:11" ht="15" customHeight="1">
      <c r="G77" s="240"/>
    </row>
  </sheetData>
  <mergeCells count="52">
    <mergeCell ref="B12:C12"/>
    <mergeCell ref="E12:E13"/>
    <mergeCell ref="A1:G1"/>
    <mergeCell ref="A2:G2"/>
    <mergeCell ref="A3:G3"/>
    <mergeCell ref="A4:G4"/>
    <mergeCell ref="A6:C6"/>
    <mergeCell ref="E6:G6"/>
    <mergeCell ref="A7:C7"/>
    <mergeCell ref="E7:G7"/>
    <mergeCell ref="A8:C8"/>
    <mergeCell ref="A10:C10"/>
    <mergeCell ref="E10:G10"/>
    <mergeCell ref="A14:A15"/>
    <mergeCell ref="E15:E16"/>
    <mergeCell ref="A17:A18"/>
    <mergeCell ref="E18:E19"/>
    <mergeCell ref="A20:A21"/>
    <mergeCell ref="E21:E22"/>
    <mergeCell ref="A44:C44"/>
    <mergeCell ref="E44:G44"/>
    <mergeCell ref="A23:A24"/>
    <mergeCell ref="E24:E25"/>
    <mergeCell ref="A26:A27"/>
    <mergeCell ref="C37:F37"/>
    <mergeCell ref="C38:F38"/>
    <mergeCell ref="A39:G39"/>
    <mergeCell ref="A40:G40"/>
    <mergeCell ref="A41:G41"/>
    <mergeCell ref="A42:G42"/>
    <mergeCell ref="E45:G45"/>
    <mergeCell ref="A46:C46"/>
    <mergeCell ref="A48:C48"/>
    <mergeCell ref="E48:G48"/>
    <mergeCell ref="B50:C50"/>
    <mergeCell ref="E50:E51"/>
    <mergeCell ref="C76:F76"/>
    <mergeCell ref="A29:G31"/>
    <mergeCell ref="A33:G35"/>
    <mergeCell ref="A67:G69"/>
    <mergeCell ref="A71:G73"/>
    <mergeCell ref="A61:A62"/>
    <mergeCell ref="E62:E63"/>
    <mergeCell ref="A64:A65"/>
    <mergeCell ref="C75:F75"/>
    <mergeCell ref="A52:A53"/>
    <mergeCell ref="E53:E54"/>
    <mergeCell ref="A55:A56"/>
    <mergeCell ref="E56:E57"/>
    <mergeCell ref="A58:A59"/>
    <mergeCell ref="E59:E60"/>
    <mergeCell ref="A45:C45"/>
  </mergeCells>
  <printOptions horizontalCentered="1" verticalCentered="1"/>
  <pageMargins left="0.39370078740157483" right="0.39370078740157483" top="0.39370078740157483" bottom="0.39370078740157483" header="0.39370078740157483" footer="0.59055118110236227"/>
  <pageSetup paperSize="9" fitToHeight="2" orientation="portrait" r:id="rId1"/>
  <headerFooter alignWithMargins="0">
    <oddHeader>&amp;R&amp;G</oddHeader>
    <oddFooter>&amp;C&amp;8© 2017 - Fédération Flying Disc France&amp;R&amp;8&amp;D</oddFooter>
  </headerFooter>
  <rowBreaks count="1" manualBreakCount="1">
    <brk id="38" max="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O31"/>
  <sheetViews>
    <sheetView view="pageBreakPreview" zoomScaleSheetLayoutView="100" workbookViewId="0">
      <selection activeCell="A8" sqref="A8"/>
    </sheetView>
  </sheetViews>
  <sheetFormatPr baseColWidth="10" defaultRowHeight="15" outlineLevelRow="1"/>
  <cols>
    <col min="1" max="1" width="16.77734375" style="33" customWidth="1"/>
    <col min="2" max="2" width="13.44140625" style="33" bestFit="1" customWidth="1"/>
    <col min="3" max="12" width="8.77734375" style="33" customWidth="1"/>
    <col min="13" max="14" width="2.5546875" style="33" bestFit="1" customWidth="1"/>
    <col min="15" max="16384" width="11.5546875" style="33"/>
  </cols>
  <sheetData>
    <row r="1" spans="1:15">
      <c r="A1" s="32"/>
      <c r="B1" s="69" t="s">
        <v>460</v>
      </c>
    </row>
    <row r="2" spans="1:15">
      <c r="A2" s="174" t="s">
        <v>441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5" outlineLevel="1">
      <c r="A3" s="34"/>
      <c r="B3" s="35" t="s">
        <v>166</v>
      </c>
      <c r="C3" s="176" t="str">
        <f>A4</f>
        <v>Equipe 1</v>
      </c>
      <c r="D3" s="176"/>
      <c r="E3" s="176" t="str">
        <f>A5</f>
        <v>Equipe 5</v>
      </c>
      <c r="F3" s="176"/>
      <c r="G3" s="176" t="str">
        <f>A6</f>
        <v>Equipe 3</v>
      </c>
      <c r="H3" s="176"/>
      <c r="I3" s="176" t="str">
        <f>A7</f>
        <v>Equipe 2</v>
      </c>
      <c r="J3" s="176"/>
      <c r="K3" s="176" t="str">
        <f>A8</f>
        <v>Equipe 4</v>
      </c>
      <c r="L3" s="176"/>
      <c r="M3" s="36" t="s">
        <v>167</v>
      </c>
      <c r="N3" s="37" t="s">
        <v>168</v>
      </c>
    </row>
    <row r="4" spans="1:15" outlineLevel="1">
      <c r="A4" s="38" t="str">
        <f>'Planning à 5'!I14</f>
        <v>Equipe 1</v>
      </c>
      <c r="B4" s="39"/>
      <c r="C4" s="40"/>
      <c r="D4" s="40"/>
      <c r="E4" s="41"/>
      <c r="F4" s="41"/>
      <c r="G4" s="41"/>
      <c r="H4" s="41"/>
      <c r="I4" s="41"/>
      <c r="J4" s="41"/>
      <c r="K4" s="41"/>
      <c r="L4" s="41"/>
      <c r="M4" s="42">
        <f>IF(C4&gt;D4,1,0)+IF(E4&gt;F4,1,0)+IF(G4&gt;H4,1,0)+IF(I4&gt;J4,1,0)+IF(K4&gt;L4,1,0)</f>
        <v>0</v>
      </c>
      <c r="N4" s="37">
        <f>IF(C4&lt;D4,1,0)+IF(E4&lt;F4,1,0)+IF(G4&lt;H4,1,0)+IF(I4&lt;J4,1,0)+IF(K4&lt;L4,1,0)</f>
        <v>0</v>
      </c>
    </row>
    <row r="5" spans="1:15" outlineLevel="1">
      <c r="A5" s="38" t="str">
        <f>'Planning à 5'!I15</f>
        <v>Equipe 5</v>
      </c>
      <c r="B5" s="39"/>
      <c r="C5" s="43">
        <f>F4</f>
        <v>0</v>
      </c>
      <c r="D5" s="43">
        <f>E4</f>
        <v>0</v>
      </c>
      <c r="E5" s="40"/>
      <c r="F5" s="40"/>
      <c r="G5" s="41"/>
      <c r="H5" s="41"/>
      <c r="I5" s="41"/>
      <c r="J5" s="41"/>
      <c r="K5" s="41"/>
      <c r="L5" s="41"/>
      <c r="M5" s="42">
        <f t="shared" ref="M5:M8" si="0">IF(C5&gt;D5,1,0)+IF(E5&gt;F5,1,0)+IF(G5&gt;H5,1,0)+IF(I5&gt;J5,1,0)+IF(K5&gt;L5,1,0)</f>
        <v>0</v>
      </c>
      <c r="N5" s="37">
        <f t="shared" ref="N5:N8" si="1">IF(C5&lt;D5,1,0)+IF(E5&lt;F5,1,0)+IF(G5&lt;H5,1,0)+IF(I5&lt;J5,1,0)+IF(K5&lt;L5,1,0)</f>
        <v>0</v>
      </c>
    </row>
    <row r="6" spans="1:15" outlineLevel="1">
      <c r="A6" s="38" t="str">
        <f>'Planning à 5'!I16</f>
        <v>Equipe 3</v>
      </c>
      <c r="B6" s="39"/>
      <c r="C6" s="43">
        <f>H4</f>
        <v>0</v>
      </c>
      <c r="D6" s="43">
        <f>G4</f>
        <v>0</v>
      </c>
      <c r="E6" s="43">
        <f>H5</f>
        <v>0</v>
      </c>
      <c r="F6" s="43">
        <f>G5</f>
        <v>0</v>
      </c>
      <c r="G6" s="40"/>
      <c r="H6" s="40"/>
      <c r="I6" s="41"/>
      <c r="J6" s="41"/>
      <c r="K6" s="41"/>
      <c r="L6" s="41"/>
      <c r="M6" s="42">
        <f t="shared" si="0"/>
        <v>0</v>
      </c>
      <c r="N6" s="37">
        <f t="shared" si="1"/>
        <v>0</v>
      </c>
    </row>
    <row r="7" spans="1:15" outlineLevel="1">
      <c r="A7" s="38" t="str">
        <f>'Planning à 5'!I17</f>
        <v>Equipe 2</v>
      </c>
      <c r="B7" s="39"/>
      <c r="C7" s="43">
        <f>J4</f>
        <v>0</v>
      </c>
      <c r="D7" s="43">
        <f>I4</f>
        <v>0</v>
      </c>
      <c r="E7" s="43">
        <f>J5</f>
        <v>0</v>
      </c>
      <c r="F7" s="43">
        <f>I5</f>
        <v>0</v>
      </c>
      <c r="G7" s="43">
        <f>J6</f>
        <v>0</v>
      </c>
      <c r="H7" s="43">
        <f>I6</f>
        <v>0</v>
      </c>
      <c r="I7" s="40"/>
      <c r="J7" s="40"/>
      <c r="K7" s="41"/>
      <c r="L7" s="41"/>
      <c r="M7" s="42">
        <f t="shared" si="0"/>
        <v>0</v>
      </c>
      <c r="N7" s="37">
        <f t="shared" si="1"/>
        <v>0</v>
      </c>
    </row>
    <row r="8" spans="1:15" outlineLevel="1">
      <c r="A8" s="38" t="str">
        <f>'Planning à 5'!I18</f>
        <v>Equipe 4</v>
      </c>
      <c r="B8" s="39"/>
      <c r="C8" s="44">
        <f>L4</f>
        <v>0</v>
      </c>
      <c r="D8" s="44">
        <f>K4</f>
        <v>0</v>
      </c>
      <c r="E8" s="43">
        <f>L5</f>
        <v>0</v>
      </c>
      <c r="F8" s="43">
        <f>K5</f>
        <v>0</v>
      </c>
      <c r="G8" s="44">
        <f>L6</f>
        <v>0</v>
      </c>
      <c r="H8" s="44">
        <f>K6</f>
        <v>0</v>
      </c>
      <c r="I8" s="43">
        <f>L7</f>
        <v>0</v>
      </c>
      <c r="J8" s="43">
        <f>K7</f>
        <v>0</v>
      </c>
      <c r="K8" s="45"/>
      <c r="L8" s="45"/>
      <c r="M8" s="42">
        <f t="shared" si="0"/>
        <v>0</v>
      </c>
      <c r="N8" s="37">
        <f t="shared" si="1"/>
        <v>0</v>
      </c>
    </row>
    <row r="9" spans="1:15" outlineLevel="1">
      <c r="A9" s="46"/>
      <c r="B9" s="34"/>
      <c r="C9" s="47"/>
      <c r="D9" s="47"/>
      <c r="E9" s="47"/>
      <c r="F9" s="47"/>
      <c r="G9" s="47"/>
      <c r="H9" s="47"/>
      <c r="I9" s="47"/>
      <c r="J9" s="47"/>
      <c r="K9" s="48"/>
      <c r="L9" s="48"/>
      <c r="M9" s="49"/>
      <c r="N9" s="48"/>
      <c r="O9" s="48"/>
    </row>
    <row r="10" spans="1:15" outlineLevel="1">
      <c r="A10" s="34"/>
      <c r="B10" s="50" t="s">
        <v>169</v>
      </c>
      <c r="C10" s="51" t="s">
        <v>170</v>
      </c>
      <c r="D10" s="51" t="s">
        <v>171</v>
      </c>
      <c r="E10" s="52" t="s">
        <v>172</v>
      </c>
      <c r="F10" s="53" t="s">
        <v>173</v>
      </c>
      <c r="G10" s="47"/>
      <c r="H10" s="48"/>
      <c r="I10" s="176" t="s">
        <v>174</v>
      </c>
      <c r="J10" s="176"/>
      <c r="K10" s="48"/>
      <c r="L10" s="48"/>
      <c r="M10" s="49"/>
      <c r="N10" s="48"/>
      <c r="O10" s="48"/>
    </row>
    <row r="11" spans="1:15" outlineLevel="1">
      <c r="A11" s="38" t="str">
        <f>A4</f>
        <v>Equipe 1</v>
      </c>
      <c r="B11" s="50">
        <f>IF(B4="A",0, IF(B4="F", (M4*2+N4*1),(M4*3+N4*2)))</f>
        <v>0</v>
      </c>
      <c r="C11" s="54">
        <f>C4+E4+G4+I4+K4</f>
        <v>0</v>
      </c>
      <c r="D11" s="54">
        <f>D4+F4+H4+J4+L4</f>
        <v>0</v>
      </c>
      <c r="E11" s="44">
        <f t="shared" ref="E11:E15" si="2">C11-D11</f>
        <v>0</v>
      </c>
      <c r="F11" s="53">
        <f>RANK(G11,G$11:G$15)</f>
        <v>1</v>
      </c>
      <c r="G11" s="70">
        <f t="shared" ref="G11:G15" si="3">B11+E11/1000</f>
        <v>0</v>
      </c>
      <c r="H11" s="55">
        <v>1</v>
      </c>
      <c r="I11" s="175" t="str">
        <f>IF(A1="calcul",IF(F$11=H11,A$11,IF(F$12=H11,A$12,IF(F$13=H11,A$13,IF(F$14=H11,A$14,IF(F$15=H11,A$15,))))),"1er")</f>
        <v>1er</v>
      </c>
      <c r="J11" s="175"/>
      <c r="K11" s="48"/>
      <c r="L11" s="48"/>
      <c r="M11" s="49"/>
      <c r="N11" s="48"/>
      <c r="O11" s="48"/>
    </row>
    <row r="12" spans="1:15" outlineLevel="1">
      <c r="A12" s="38" t="str">
        <f>A5</f>
        <v>Equipe 5</v>
      </c>
      <c r="B12" s="50">
        <f>IF(B5="A",0, IF(B5="F", (M5*2+N5*1),(M5*3+N5*2)))</f>
        <v>0</v>
      </c>
      <c r="C12" s="54">
        <f t="shared" ref="C12:D15" si="4">C5+E5+G5+I5+K5</f>
        <v>0</v>
      </c>
      <c r="D12" s="54">
        <f t="shared" si="4"/>
        <v>0</v>
      </c>
      <c r="E12" s="44">
        <f t="shared" si="2"/>
        <v>0</v>
      </c>
      <c r="F12" s="53">
        <f>RANK(G12,G$11:G$15)</f>
        <v>1</v>
      </c>
      <c r="G12" s="70">
        <f t="shared" si="3"/>
        <v>0</v>
      </c>
      <c r="H12" s="55">
        <v>2</v>
      </c>
      <c r="I12" s="175" t="str">
        <f>IF(A1="calcul",IF(F$11=H12,A$11,IF(F$12=H12,A$12,IF(F$13=H12,A$13,IF(F$14=H12,A$14,IF(F$15=H12,A$15,))))),"2e")</f>
        <v>2e</v>
      </c>
      <c r="J12" s="175"/>
      <c r="K12" s="48"/>
      <c r="L12" s="48"/>
      <c r="M12" s="49"/>
      <c r="N12" s="48"/>
      <c r="O12" s="48"/>
    </row>
    <row r="13" spans="1:15" outlineLevel="1">
      <c r="A13" s="38" t="str">
        <f>A6</f>
        <v>Equipe 3</v>
      </c>
      <c r="B13" s="50">
        <f>IF(B6="A",0, IF(B6="F", (M6*2+N6*1),(M6*3+N6*2)))</f>
        <v>0</v>
      </c>
      <c r="C13" s="54">
        <f t="shared" si="4"/>
        <v>0</v>
      </c>
      <c r="D13" s="54">
        <f t="shared" si="4"/>
        <v>0</v>
      </c>
      <c r="E13" s="44">
        <f t="shared" si="2"/>
        <v>0</v>
      </c>
      <c r="F13" s="53">
        <f>RANK(G13,G$11:G$15)</f>
        <v>1</v>
      </c>
      <c r="G13" s="70">
        <f t="shared" si="3"/>
        <v>0</v>
      </c>
      <c r="H13" s="55">
        <v>3</v>
      </c>
      <c r="I13" s="175" t="str">
        <f>IF(A1="calcul",IF(F$11=H13,A$11,IF(F$12=H13,A$12,IF(F$13=H13,A$13,IF(F$14=H13,A$14,IF(F$15=H13,A$15,))))),"3e")</f>
        <v>3e</v>
      </c>
      <c r="J13" s="175"/>
      <c r="K13" s="48"/>
      <c r="L13" s="48"/>
      <c r="M13" s="49"/>
      <c r="N13" s="48"/>
      <c r="O13" s="48"/>
    </row>
    <row r="14" spans="1:15" outlineLevel="1">
      <c r="A14" s="38" t="str">
        <f>A7</f>
        <v>Equipe 2</v>
      </c>
      <c r="B14" s="50">
        <f>IF(B7="A",0, IF(B7="F", (M7*2+N7*1),(M7*3+N7*2)))</f>
        <v>0</v>
      </c>
      <c r="C14" s="54">
        <f t="shared" si="4"/>
        <v>0</v>
      </c>
      <c r="D14" s="54">
        <f t="shared" si="4"/>
        <v>0</v>
      </c>
      <c r="E14" s="44">
        <f>C14-D14</f>
        <v>0</v>
      </c>
      <c r="F14" s="53">
        <f>RANK(G14,G$11:G$15)</f>
        <v>1</v>
      </c>
      <c r="G14" s="70">
        <f t="shared" si="3"/>
        <v>0</v>
      </c>
      <c r="H14" s="55">
        <v>4</v>
      </c>
      <c r="I14" s="175" t="str">
        <f>IF(A1="calcul",IF(F$11=H14,A$11,IF(F$12=H14,A$12,IF(F$13=H14,A$13,IF(F$14=H14,A$14,IF(F$15=H14,A$15,))))),"4e")</f>
        <v>4e</v>
      </c>
      <c r="J14" s="175"/>
      <c r="K14" s="48"/>
      <c r="L14" s="48"/>
      <c r="M14" s="49"/>
      <c r="N14" s="48"/>
      <c r="O14" s="48"/>
    </row>
    <row r="15" spans="1:15" outlineLevel="1">
      <c r="A15" s="38" t="str">
        <f>A8</f>
        <v>Equipe 4</v>
      </c>
      <c r="B15" s="50">
        <f>IF(B8="A",0, IF(B8="F", (M8*2+N8*1),(M8*3+N8*2)))</f>
        <v>0</v>
      </c>
      <c r="C15" s="54">
        <f t="shared" si="4"/>
        <v>0</v>
      </c>
      <c r="D15" s="54">
        <f t="shared" si="4"/>
        <v>0</v>
      </c>
      <c r="E15" s="44">
        <f t="shared" si="2"/>
        <v>0</v>
      </c>
      <c r="F15" s="53">
        <f>RANK(G15,G$11:G$15)</f>
        <v>1</v>
      </c>
      <c r="G15" s="70">
        <f t="shared" si="3"/>
        <v>0</v>
      </c>
      <c r="H15" s="55">
        <v>5</v>
      </c>
      <c r="I15" s="175" t="str">
        <f>IF(A1="calcul",IF(F$11=H15,A$11,IF(F$12=H15,A$12,IF(F$13=H15,A$13,IF(F$14=H15,A$14,IF(F$15=H15,A$15,))))),"5e")</f>
        <v>5e</v>
      </c>
      <c r="J15" s="175"/>
      <c r="K15" s="48"/>
      <c r="L15" s="48"/>
      <c r="M15" s="49"/>
      <c r="N15" s="48"/>
      <c r="O15" s="48"/>
    </row>
    <row r="16" spans="1:15" s="48" customFormat="1" outlineLevel="1">
      <c r="A16" s="56"/>
      <c r="B16" s="56"/>
      <c r="C16" s="57">
        <f>SUM(C11:C15)</f>
        <v>0</v>
      </c>
      <c r="D16" s="57">
        <f>SUM(D11:D15)</f>
        <v>0</v>
      </c>
      <c r="E16" s="58"/>
      <c r="F16" s="56"/>
      <c r="H16" s="58"/>
      <c r="I16" s="59"/>
      <c r="J16" s="59"/>
      <c r="M16" s="49"/>
    </row>
    <row r="17" spans="1:14" s="48" customFormat="1">
      <c r="A17" s="174" t="s">
        <v>442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s="48" customFormat="1" outlineLevel="1">
      <c r="B18" s="60" t="s">
        <v>166</v>
      </c>
      <c r="C18" s="176" t="str">
        <f>A19</f>
        <v>Equipe 1</v>
      </c>
      <c r="D18" s="176"/>
      <c r="E18" s="176" t="str">
        <f>A20</f>
        <v>Equipe 5</v>
      </c>
      <c r="F18" s="176"/>
      <c r="G18" s="176" t="str">
        <f>A21</f>
        <v>Equipe 3</v>
      </c>
      <c r="H18" s="176"/>
      <c r="I18" s="176" t="str">
        <f>A22</f>
        <v>Equipe 2</v>
      </c>
      <c r="J18" s="176"/>
      <c r="K18" s="176" t="str">
        <f>A23</f>
        <v>Equipe 4</v>
      </c>
      <c r="L18" s="176"/>
      <c r="M18" s="61" t="s">
        <v>167</v>
      </c>
      <c r="N18" s="62" t="s">
        <v>168</v>
      </c>
    </row>
    <row r="19" spans="1:14" outlineLevel="1">
      <c r="A19" s="38" t="str">
        <f>A4</f>
        <v>Equipe 1</v>
      </c>
      <c r="B19" s="39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2">
        <f>IF(C19&gt;D19,1,0)+IF(E19&gt;F19,1,0)+IF(G19&gt;H19,1,0)+IF(I19&gt;J19,1,0)+IF(K19&gt;L19,1,0)</f>
        <v>0</v>
      </c>
      <c r="N19" s="37">
        <f>IF(C19&lt;D19,1,0)+IF(E19&lt;F19,1,0)+IF(G19&lt;H19,1,0)+IF(I19&lt;J19,1,0)+IF(K19&lt;L19,1,0)</f>
        <v>0</v>
      </c>
    </row>
    <row r="20" spans="1:14" outlineLevel="1">
      <c r="A20" s="38" t="str">
        <f>A5</f>
        <v>Equipe 5</v>
      </c>
      <c r="B20" s="39"/>
      <c r="C20" s="43">
        <f>F19</f>
        <v>0</v>
      </c>
      <c r="D20" s="43">
        <f>E19</f>
        <v>0</v>
      </c>
      <c r="E20" s="40"/>
      <c r="F20" s="40"/>
      <c r="G20" s="41"/>
      <c r="H20" s="41"/>
      <c r="I20" s="41"/>
      <c r="J20" s="41"/>
      <c r="K20" s="41"/>
      <c r="L20" s="41"/>
      <c r="M20" s="42">
        <f t="shared" ref="M20:M23" si="5">IF(C20&gt;D20,1,0)+IF(E20&gt;F20,1,0)+IF(G20&gt;H20,1,0)+IF(I20&gt;J20,1,0)+IF(K20&gt;L20,1,0)</f>
        <v>0</v>
      </c>
      <c r="N20" s="37">
        <f t="shared" ref="N20:N23" si="6">IF(C20&lt;D20,1,0)+IF(E20&lt;F20,1,0)+IF(G20&lt;H20,1,0)+IF(I20&lt;J20,1,0)+IF(K20&lt;L20,1,0)</f>
        <v>0</v>
      </c>
    </row>
    <row r="21" spans="1:14" outlineLevel="1">
      <c r="A21" s="38" t="str">
        <f>A6</f>
        <v>Equipe 3</v>
      </c>
      <c r="B21" s="39"/>
      <c r="C21" s="43">
        <f>H19</f>
        <v>0</v>
      </c>
      <c r="D21" s="43">
        <f>G19</f>
        <v>0</v>
      </c>
      <c r="E21" s="43">
        <f>H20</f>
        <v>0</v>
      </c>
      <c r="F21" s="43">
        <f>G20</f>
        <v>0</v>
      </c>
      <c r="G21" s="40"/>
      <c r="H21" s="40"/>
      <c r="I21" s="41"/>
      <c r="J21" s="41"/>
      <c r="K21" s="41"/>
      <c r="L21" s="41"/>
      <c r="M21" s="42">
        <f t="shared" si="5"/>
        <v>0</v>
      </c>
      <c r="N21" s="37">
        <f t="shared" si="6"/>
        <v>0</v>
      </c>
    </row>
    <row r="22" spans="1:14" outlineLevel="1">
      <c r="A22" s="38" t="str">
        <f>A7</f>
        <v>Equipe 2</v>
      </c>
      <c r="B22" s="39"/>
      <c r="C22" s="43">
        <f>J19</f>
        <v>0</v>
      </c>
      <c r="D22" s="43">
        <f>I19</f>
        <v>0</v>
      </c>
      <c r="E22" s="43">
        <f>J20</f>
        <v>0</v>
      </c>
      <c r="F22" s="43">
        <f>I20</f>
        <v>0</v>
      </c>
      <c r="G22" s="43">
        <f>J21</f>
        <v>0</v>
      </c>
      <c r="H22" s="43">
        <f>I21</f>
        <v>0</v>
      </c>
      <c r="I22" s="40"/>
      <c r="J22" s="40"/>
      <c r="K22" s="41"/>
      <c r="L22" s="41"/>
      <c r="M22" s="42">
        <f t="shared" si="5"/>
        <v>0</v>
      </c>
      <c r="N22" s="37">
        <f t="shared" si="6"/>
        <v>0</v>
      </c>
    </row>
    <row r="23" spans="1:14" outlineLevel="1">
      <c r="A23" s="38" t="str">
        <f>A8</f>
        <v>Equipe 4</v>
      </c>
      <c r="B23" s="39"/>
      <c r="C23" s="44">
        <f>L19</f>
        <v>0</v>
      </c>
      <c r="D23" s="44">
        <f>K19</f>
        <v>0</v>
      </c>
      <c r="E23" s="43">
        <f>L20</f>
        <v>0</v>
      </c>
      <c r="F23" s="43">
        <f>K20</f>
        <v>0</v>
      </c>
      <c r="G23" s="44">
        <f>L21</f>
        <v>0</v>
      </c>
      <c r="H23" s="44">
        <f>K21</f>
        <v>0</v>
      </c>
      <c r="I23" s="43">
        <f>L22</f>
        <v>0</v>
      </c>
      <c r="J23" s="43">
        <f>K22</f>
        <v>0</v>
      </c>
      <c r="K23" s="45"/>
      <c r="L23" s="45"/>
      <c r="M23" s="42">
        <f t="shared" si="5"/>
        <v>0</v>
      </c>
      <c r="N23" s="37">
        <f t="shared" si="6"/>
        <v>0</v>
      </c>
    </row>
    <row r="24" spans="1:14" outlineLevel="1">
      <c r="A24" s="46"/>
      <c r="B24" s="34"/>
      <c r="C24" s="47"/>
      <c r="D24" s="47"/>
      <c r="E24" s="47"/>
      <c r="F24" s="47"/>
      <c r="G24" s="47"/>
      <c r="H24" s="48"/>
      <c r="I24" s="48"/>
      <c r="J24" s="48"/>
      <c r="K24" s="47"/>
      <c r="L24" s="47"/>
      <c r="M24" s="63"/>
      <c r="N24" s="47"/>
    </row>
    <row r="25" spans="1:14" outlineLevel="1">
      <c r="A25" s="34"/>
      <c r="B25" s="50" t="s">
        <v>169</v>
      </c>
      <c r="C25" s="51" t="s">
        <v>170</v>
      </c>
      <c r="D25" s="51" t="s">
        <v>171</v>
      </c>
      <c r="E25" s="52" t="s">
        <v>172</v>
      </c>
      <c r="F25" s="53" t="s">
        <v>173</v>
      </c>
      <c r="G25" s="47"/>
      <c r="H25" s="48"/>
      <c r="I25" s="176" t="s">
        <v>174</v>
      </c>
      <c r="J25" s="176"/>
      <c r="K25" s="47"/>
      <c r="L25" s="47"/>
      <c r="M25" s="63"/>
      <c r="N25" s="47"/>
    </row>
    <row r="26" spans="1:14" outlineLevel="1">
      <c r="A26" s="38" t="str">
        <f>A19</f>
        <v>Equipe 1</v>
      </c>
      <c r="B26" s="50">
        <f>IF(B19="A",0, IF(B19="F", (M19*2+N19*1),(M19*3+N19*2)))+B11</f>
        <v>0</v>
      </c>
      <c r="C26" s="54">
        <f>C19+E19+G19+I19+K19</f>
        <v>0</v>
      </c>
      <c r="D26" s="54">
        <f>D19+F19+H19+J19+L19</f>
        <v>0</v>
      </c>
      <c r="E26" s="44">
        <f>C26-D26+E11</f>
        <v>0</v>
      </c>
      <c r="F26" s="53">
        <f>RANK(G26,G$26:G$30)</f>
        <v>1</v>
      </c>
      <c r="G26" s="70">
        <f t="shared" ref="G26:G30" si="7">B26+E26/1000</f>
        <v>0</v>
      </c>
      <c r="H26" s="55">
        <v>1</v>
      </c>
      <c r="I26" s="175" t="str">
        <f>IF(A1="calcul",IF(F$26=H26,A$26,IF(F$27=H26,A$27,IF(F$28=H26,A$28,IF(F$29=H26,A$29,IF(F$30=H26,A$30,))))),"1er")</f>
        <v>1er</v>
      </c>
      <c r="J26" s="175"/>
      <c r="K26" s="47"/>
      <c r="L26" s="47"/>
      <c r="M26" s="63"/>
      <c r="N26" s="47"/>
    </row>
    <row r="27" spans="1:14" outlineLevel="1">
      <c r="A27" s="38" t="str">
        <f>A20</f>
        <v>Equipe 5</v>
      </c>
      <c r="B27" s="50">
        <f>IF(B20="A",0, IF(B20="F", (M20*2+N20*1),(M20*3+N20*2)))+B12</f>
        <v>0</v>
      </c>
      <c r="C27" s="54">
        <f t="shared" ref="C27:D30" si="8">C20+E20+G20+I20+K20</f>
        <v>0</v>
      </c>
      <c r="D27" s="54">
        <f t="shared" si="8"/>
        <v>0</v>
      </c>
      <c r="E27" s="44">
        <f>C27-D27+E12</f>
        <v>0</v>
      </c>
      <c r="F27" s="53">
        <f>RANK(G27,G$26:G$30)</f>
        <v>1</v>
      </c>
      <c r="G27" s="70">
        <f t="shared" si="7"/>
        <v>0</v>
      </c>
      <c r="H27" s="55">
        <v>2</v>
      </c>
      <c r="I27" s="175" t="str">
        <f>IF(A1="calcul",IF(F$26=H27,A$26,IF(F$27=H27,A$27,IF(F$28=H27,A$28,IF(F$29=H27,A$29,IF(F$30=H27,A$30,))))),"2e")</f>
        <v>2e</v>
      </c>
      <c r="J27" s="175"/>
      <c r="K27" s="47"/>
      <c r="L27" s="47"/>
      <c r="M27" s="63"/>
      <c r="N27" s="47"/>
    </row>
    <row r="28" spans="1:14" outlineLevel="1">
      <c r="A28" s="38" t="str">
        <f>A21</f>
        <v>Equipe 3</v>
      </c>
      <c r="B28" s="50">
        <f>IF(B21="A",0, IF(B21="F", (M21*2+N21*1),(M21*3+N21*2)))+B13</f>
        <v>0</v>
      </c>
      <c r="C28" s="54">
        <f t="shared" si="8"/>
        <v>0</v>
      </c>
      <c r="D28" s="54">
        <f t="shared" si="8"/>
        <v>0</v>
      </c>
      <c r="E28" s="44">
        <f>C28-D28+E13</f>
        <v>0</v>
      </c>
      <c r="F28" s="53">
        <f>RANK(G28,G$26:G$30)</f>
        <v>1</v>
      </c>
      <c r="G28" s="70">
        <f t="shared" si="7"/>
        <v>0</v>
      </c>
      <c r="H28" s="55">
        <v>3</v>
      </c>
      <c r="I28" s="175" t="str">
        <f>IF(A1="calcul",IF(F$26=H28,A$26,IF(F$27=H28,A$27,IF(F$28=H28,A$28,IF(F$29=H28,A$29,IF(F$30=H28,A$30,))))),"3e")</f>
        <v>3e</v>
      </c>
      <c r="J28" s="175"/>
      <c r="K28" s="47"/>
      <c r="L28" s="47"/>
      <c r="M28" s="63"/>
      <c r="N28" s="47"/>
    </row>
    <row r="29" spans="1:14" outlineLevel="1">
      <c r="A29" s="38" t="str">
        <f>A22</f>
        <v>Equipe 2</v>
      </c>
      <c r="B29" s="50">
        <f>IF(B22="A",0, IF(B22="F", (M22*2+N22*1),(M22*3+N22*2)))+B14</f>
        <v>0</v>
      </c>
      <c r="C29" s="54">
        <f t="shared" si="8"/>
        <v>0</v>
      </c>
      <c r="D29" s="54">
        <f t="shared" si="8"/>
        <v>0</v>
      </c>
      <c r="E29" s="44">
        <f>C29-D29+E14</f>
        <v>0</v>
      </c>
      <c r="F29" s="53">
        <f>RANK(G29,G$26:G$30)</f>
        <v>1</v>
      </c>
      <c r="G29" s="70">
        <f t="shared" si="7"/>
        <v>0</v>
      </c>
      <c r="H29" s="55">
        <v>4</v>
      </c>
      <c r="I29" s="175" t="str">
        <f>IF(A1="calcul",IF(F$26=H29,A$26,IF(F$27=H29,A$27,IF(F$28=H29,A$28,IF(F$29=H29,A$29,IF(F$30=H29,A$30,))))),"4e")</f>
        <v>4e</v>
      </c>
      <c r="J29" s="175"/>
      <c r="K29" s="47"/>
      <c r="L29" s="47"/>
      <c r="M29" s="63"/>
      <c r="N29" s="47"/>
    </row>
    <row r="30" spans="1:14" outlineLevel="1">
      <c r="A30" s="38" t="str">
        <f>A23</f>
        <v>Equipe 4</v>
      </c>
      <c r="B30" s="50">
        <f>IF(B23="A",0, IF(B23="F", (M23*2+N23*1),(M23*3+N23*2)))+B15</f>
        <v>0</v>
      </c>
      <c r="C30" s="54">
        <f t="shared" si="8"/>
        <v>0</v>
      </c>
      <c r="D30" s="54">
        <f t="shared" si="8"/>
        <v>0</v>
      </c>
      <c r="E30" s="44">
        <f>C30-D30+E15</f>
        <v>0</v>
      </c>
      <c r="F30" s="53">
        <f>RANK(G30,G$26:G$30)</f>
        <v>1</v>
      </c>
      <c r="G30" s="70">
        <f t="shared" si="7"/>
        <v>0</v>
      </c>
      <c r="H30" s="55">
        <v>5</v>
      </c>
      <c r="I30" s="175" t="str">
        <f>IF(A1="calcul",IF(F$26=H30,A$26,IF(F$27=H30,A$27,IF(F$28=H30,A$28,IF(F$29=H30,A$29,IF(F$30=H30,A$30,))))),"5e")</f>
        <v>5e</v>
      </c>
      <c r="J30" s="175"/>
      <c r="K30" s="47"/>
      <c r="L30" s="47"/>
      <c r="M30" s="63"/>
      <c r="N30" s="47"/>
    </row>
    <row r="31" spans="1:14" s="48" customFormat="1" outlineLevel="1">
      <c r="A31" s="64"/>
      <c r="B31" s="64"/>
      <c r="C31" s="65">
        <f>SUM(C26:C30)</f>
        <v>0</v>
      </c>
      <c r="D31" s="65">
        <f>SUM(D26:D30)</f>
        <v>0</v>
      </c>
      <c r="E31" s="66"/>
      <c r="F31" s="67"/>
      <c r="G31" s="47"/>
      <c r="H31" s="66"/>
      <c r="I31" s="68"/>
      <c r="J31" s="68"/>
      <c r="K31" s="47"/>
      <c r="L31" s="47"/>
      <c r="M31" s="63"/>
      <c r="N31" s="47"/>
    </row>
  </sheetData>
  <mergeCells count="24">
    <mergeCell ref="I13:J13"/>
    <mergeCell ref="I14:J14"/>
    <mergeCell ref="I15:J15"/>
    <mergeCell ref="E3:F3"/>
    <mergeCell ref="G3:H3"/>
    <mergeCell ref="I3:J3"/>
    <mergeCell ref="I11:J11"/>
    <mergeCell ref="I12:J12"/>
    <mergeCell ref="A2:N2"/>
    <mergeCell ref="A17:N17"/>
    <mergeCell ref="I30:J30"/>
    <mergeCell ref="K18:L18"/>
    <mergeCell ref="I25:J25"/>
    <mergeCell ref="I26:J26"/>
    <mergeCell ref="I27:J27"/>
    <mergeCell ref="I28:J28"/>
    <mergeCell ref="I29:J29"/>
    <mergeCell ref="K3:L3"/>
    <mergeCell ref="I10:J10"/>
    <mergeCell ref="C18:D18"/>
    <mergeCell ref="E18:F18"/>
    <mergeCell ref="G18:H18"/>
    <mergeCell ref="I18:J18"/>
    <mergeCell ref="C3:D3"/>
  </mergeCells>
  <dataValidations count="2">
    <dataValidation type="list" allowBlank="1" showInputMessage="1" showErrorMessage="1" sqref="A1">
      <formula1>"calcul"</formula1>
    </dataValidation>
    <dataValidation type="list" allowBlank="1" showInputMessage="1" showErrorMessage="1" sqref="B4:B8 IS4:IS8 SO4:SO8 ACK4:ACK8 AMG4:AMG8 AWC4:AWC8 BFY4:BFY8 BPU4:BPU8 BZQ4:BZQ8 CJM4:CJM8 CTI4:CTI8 DDE4:DDE8 DNA4:DNA8 DWW4:DWW8 EGS4:EGS8 EQO4:EQO8 FAK4:FAK8 FKG4:FKG8 FUC4:FUC8 GDY4:GDY8 GNU4:GNU8 GXQ4:GXQ8 HHM4:HHM8 HRI4:HRI8 IBE4:IBE8 ILA4:ILA8 IUW4:IUW8 JES4:JES8 JOO4:JOO8 JYK4:JYK8 KIG4:KIG8 KSC4:KSC8 LBY4:LBY8 LLU4:LLU8 LVQ4:LVQ8 MFM4:MFM8 MPI4:MPI8 MZE4:MZE8 NJA4:NJA8 NSW4:NSW8 OCS4:OCS8 OMO4:OMO8 OWK4:OWK8 PGG4:PGG8 PQC4:PQC8 PZY4:PZY8 QJU4:QJU8 QTQ4:QTQ8 RDM4:RDM8 RNI4:RNI8 RXE4:RXE8 SHA4:SHA8 SQW4:SQW8 TAS4:TAS8 TKO4:TKO8 TUK4:TUK8 UEG4:UEG8 UOC4:UOC8 UXY4:UXY8 VHU4:VHU8 VRQ4:VRQ8 WBM4:WBM8 WLI4:WLI8 WVE4:WVE8 B19:B23 IS19:IS23 SO19:SO23 ACK19:ACK23 AMG19:AMG23 AWC19:AWC23 BFY19:BFY23 BPU19:BPU23 BZQ19:BZQ23 CJM19:CJM23 CTI19:CTI23 DDE19:DDE23 DNA19:DNA23 DWW19:DWW23 EGS19:EGS23 EQO19:EQO23 FAK19:FAK23 FKG19:FKG23 FUC19:FUC23 GDY19:GDY23 GNU19:GNU23 GXQ19:GXQ23 HHM19:HHM23 HRI19:HRI23 IBE19:IBE23 ILA19:ILA23 IUW19:IUW23 JES19:JES23 JOO19:JOO23 JYK19:JYK23 KIG19:KIG23 KSC19:KSC23 LBY19:LBY23 LLU19:LLU23 LVQ19:LVQ23 MFM19:MFM23 MPI19:MPI23 MZE19:MZE23 NJA19:NJA23 NSW19:NSW23 OCS19:OCS23 OMO19:OMO23 OWK19:OWK23 PGG19:PGG23 PQC19:PQC23 PZY19:PZY23 QJU19:QJU23 QTQ19:QTQ23 RDM19:RDM23 RNI19:RNI23 RXE19:RXE23 SHA19:SHA23 SQW19:SQW23 TAS19:TAS23 TKO19:TKO23 TUK19:TUK23 UEG19:UEG23 UOC19:UOC23 UXY19:UXY23 VHU19:VHU23 VRQ19:VRQ23 WBM19:WBM23 WLI19:WLI23 WVE19:WVE23">
      <formula1>"A,F"</formula1>
    </dataValidation>
  </dataValidations>
  <printOptions horizontalCentered="1" verticalCentered="1"/>
  <pageMargins left="0" right="0" top="0" bottom="0" header="0" footer="0"/>
  <pageSetup paperSize="9" orientation="landscape" r:id="rId1"/>
  <headerFooter scaleWithDoc="0">
    <oddHeader>&amp;C&amp;G</oddHeader>
    <oddFooter>&amp;L&amp;"Open Sans,Normal"&amp;8© 2017 - Ligue Flying Disc&amp;R&amp;"Open Sans,Normal"&amp;8&amp;D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8"/>
  <sheetViews>
    <sheetView view="pageBreakPreview" topLeftCell="A17" zoomScaleNormal="100" zoomScaleSheetLayoutView="100" workbookViewId="0">
      <selection activeCell="I32" sqref="A1:XFD1048576"/>
    </sheetView>
  </sheetViews>
  <sheetFormatPr baseColWidth="10" defaultColWidth="11.5546875" defaultRowHeight="15"/>
  <cols>
    <col min="1" max="1" width="7.6640625" style="241" customWidth="1"/>
    <col min="2" max="3" width="18.6640625" style="241" customWidth="1"/>
    <col min="4" max="4" width="5.6640625" style="241" customWidth="1"/>
    <col min="5" max="5" width="7.6640625" style="241" customWidth="1"/>
    <col min="6" max="7" width="18.6640625" style="241" customWidth="1"/>
    <col min="8" max="8" width="6" style="241" customWidth="1"/>
    <col min="9" max="9" width="17.33203125" style="241" bestFit="1" customWidth="1"/>
    <col min="10" max="13" width="8.5546875" style="241" bestFit="1" customWidth="1"/>
    <col min="14" max="14" width="11.6640625" style="241" bestFit="1" customWidth="1"/>
    <col min="15" max="16384" width="11.5546875" style="241"/>
  </cols>
  <sheetData>
    <row r="1" spans="1:14" ht="30" customHeight="1">
      <c r="A1" s="194" t="s">
        <v>444</v>
      </c>
      <c r="B1" s="194"/>
      <c r="C1" s="194"/>
      <c r="D1" s="194"/>
      <c r="E1" s="194"/>
      <c r="F1" s="194"/>
      <c r="G1" s="194"/>
      <c r="H1" s="216"/>
      <c r="I1" s="216"/>
    </row>
    <row r="2" spans="1:14" ht="30" customHeight="1">
      <c r="A2" s="197" t="s">
        <v>426</v>
      </c>
      <c r="B2" s="197"/>
      <c r="C2" s="197"/>
      <c r="D2" s="197"/>
      <c r="E2" s="197"/>
      <c r="F2" s="197"/>
      <c r="G2" s="197"/>
      <c r="H2" s="216"/>
      <c r="I2" s="216"/>
    </row>
    <row r="3" spans="1:14" ht="30" customHeight="1">
      <c r="A3" s="197" t="s">
        <v>427</v>
      </c>
      <c r="B3" s="197"/>
      <c r="C3" s="197"/>
      <c r="D3" s="197"/>
      <c r="E3" s="197"/>
      <c r="F3" s="197"/>
      <c r="G3" s="197"/>
      <c r="H3" s="216"/>
      <c r="I3" s="216"/>
    </row>
    <row r="4" spans="1:14" ht="30" customHeight="1">
      <c r="A4" s="197" t="s">
        <v>428</v>
      </c>
      <c r="B4" s="197"/>
      <c r="C4" s="197"/>
      <c r="D4" s="197"/>
      <c r="E4" s="197"/>
      <c r="F4" s="197"/>
      <c r="G4" s="197"/>
      <c r="H4" s="216"/>
      <c r="I4" s="216"/>
    </row>
    <row r="5" spans="1:14" ht="16.5" customHeight="1">
      <c r="D5" s="198"/>
      <c r="H5" s="216"/>
      <c r="I5" s="216"/>
    </row>
    <row r="6" spans="1:14" ht="15" customHeight="1">
      <c r="A6" s="242" t="e">
        <f>I14&amp;" ("&amp;N14&amp;")"</f>
        <v>#N/A</v>
      </c>
      <c r="B6" s="242"/>
      <c r="C6" s="242"/>
      <c r="D6" s="198"/>
      <c r="E6" s="242" t="e">
        <f>I17&amp;" ("&amp;N17&amp;")"</f>
        <v>#N/A</v>
      </c>
      <c r="F6" s="242"/>
      <c r="G6" s="242"/>
      <c r="H6" s="216"/>
      <c r="I6" s="216"/>
    </row>
    <row r="7" spans="1:14" ht="15" customHeight="1">
      <c r="A7" s="242" t="e">
        <f>I15&amp;" ("&amp;N15&amp;")"</f>
        <v>#N/A</v>
      </c>
      <c r="B7" s="242"/>
      <c r="C7" s="242"/>
      <c r="D7" s="198"/>
      <c r="E7" s="242" t="e">
        <f>I18&amp;" ("&amp;N18&amp;")"</f>
        <v>#N/A</v>
      </c>
      <c r="F7" s="242"/>
      <c r="G7" s="242"/>
      <c r="H7" s="216"/>
      <c r="I7" s="216"/>
    </row>
    <row r="8" spans="1:14" ht="15" customHeight="1">
      <c r="A8" s="242" t="e">
        <f>I16&amp;" ("&amp;N16&amp;")"</f>
        <v>#N/A</v>
      </c>
      <c r="B8" s="242"/>
      <c r="C8" s="242"/>
      <c r="D8" s="198"/>
      <c r="E8" s="242" t="e">
        <f>I19&amp;" ("&amp;N19&amp;")"</f>
        <v>#N/A</v>
      </c>
      <c r="F8" s="242"/>
      <c r="G8" s="242"/>
      <c r="H8" s="216"/>
      <c r="I8" s="216"/>
    </row>
    <row r="9" spans="1:14" ht="30" customHeight="1">
      <c r="A9" s="201"/>
      <c r="B9" s="201"/>
      <c r="C9" s="201"/>
      <c r="D9" s="201"/>
      <c r="E9" s="201"/>
      <c r="F9" s="201"/>
      <c r="G9" s="201"/>
      <c r="H9" s="216"/>
      <c r="I9" s="216"/>
    </row>
    <row r="10" spans="1:14" ht="15" customHeight="1">
      <c r="A10" s="243" t="s">
        <v>22</v>
      </c>
      <c r="B10" s="244"/>
      <c r="C10" s="245"/>
      <c r="D10" s="220"/>
      <c r="E10" s="243" t="s">
        <v>23</v>
      </c>
      <c r="F10" s="244"/>
      <c r="G10" s="245"/>
      <c r="H10" s="216"/>
      <c r="I10" s="216"/>
    </row>
    <row r="11" spans="1:14" ht="15" customHeight="1">
      <c r="A11" s="220"/>
      <c r="B11" s="207"/>
      <c r="C11" s="207"/>
      <c r="D11" s="220"/>
      <c r="E11" s="220"/>
      <c r="F11" s="207"/>
      <c r="G11" s="207"/>
      <c r="H11" s="216"/>
      <c r="I11" s="216"/>
    </row>
    <row r="12" spans="1:14" ht="15" customHeight="1">
      <c r="A12" s="246" t="s">
        <v>37</v>
      </c>
      <c r="B12" s="243" t="s">
        <v>77</v>
      </c>
      <c r="C12" s="245"/>
      <c r="D12" s="216"/>
      <c r="E12" s="247" t="s">
        <v>25</v>
      </c>
      <c r="F12" s="248" t="str">
        <f>I19</f>
        <v>Equipe 6</v>
      </c>
      <c r="G12" s="249" t="s">
        <v>113</v>
      </c>
      <c r="H12" s="216"/>
      <c r="I12" s="216"/>
      <c r="J12" s="250"/>
    </row>
    <row r="13" spans="1:14" ht="15" customHeight="1">
      <c r="A13" s="220"/>
      <c r="B13" s="207"/>
      <c r="C13" s="207"/>
      <c r="D13" s="216"/>
      <c r="E13" s="213"/>
      <c r="F13" s="248" t="str">
        <f>I15</f>
        <v>Equipe 2</v>
      </c>
      <c r="G13" s="238" t="str">
        <f>I20</f>
        <v>Directeur de tournoi</v>
      </c>
      <c r="H13" s="216"/>
      <c r="J13" s="250"/>
    </row>
    <row r="14" spans="1:14" ht="15" customHeight="1">
      <c r="A14" s="247" t="s">
        <v>24</v>
      </c>
      <c r="B14" s="251" t="str">
        <f>I14</f>
        <v>Equipe 1</v>
      </c>
      <c r="C14" s="249" t="s">
        <v>113</v>
      </c>
      <c r="D14" s="216"/>
      <c r="E14" s="216"/>
      <c r="F14" s="215"/>
      <c r="G14" s="252"/>
      <c r="H14" s="216"/>
      <c r="I14" s="253" t="s">
        <v>429</v>
      </c>
      <c r="J14" s="254">
        <f>COUNTIF($B$14:$B$30,I14)+COUNTIF($F$12:$F$37,I14)</f>
        <v>5</v>
      </c>
      <c r="K14" s="254">
        <f>COUNTIF($B$14:$B$30,I14)</f>
        <v>2</v>
      </c>
      <c r="L14" s="254">
        <f>COUNTIF($F$12:$F$37,I14)</f>
        <v>3</v>
      </c>
      <c r="M14" s="254">
        <f>COUNTIF($C$14:$C$30,I14)+COUNTIF($G$12:$G$37,I14)</f>
        <v>2</v>
      </c>
      <c r="N14" s="241" t="e">
        <f>VLOOKUP(I14,'club-ville'!A:B,2,FALSE)</f>
        <v>#N/A</v>
      </c>
    </row>
    <row r="15" spans="1:14" ht="15" customHeight="1">
      <c r="A15" s="213"/>
      <c r="B15" s="251" t="str">
        <f>I15</f>
        <v>Equipe 2</v>
      </c>
      <c r="C15" s="238" t="str">
        <f>I20</f>
        <v>Directeur de tournoi</v>
      </c>
      <c r="D15" s="216"/>
      <c r="E15" s="247" t="s">
        <v>27</v>
      </c>
      <c r="F15" s="248" t="str">
        <f>I14</f>
        <v>Equipe 1</v>
      </c>
      <c r="G15" s="249" t="s">
        <v>113</v>
      </c>
      <c r="H15" s="216"/>
      <c r="I15" s="253" t="s">
        <v>430</v>
      </c>
      <c r="J15" s="254">
        <f t="shared" ref="J15:J19" si="0">COUNTIF($B$14:$B$30,I15)+COUNTIF($F$12:$F$37,I15)</f>
        <v>5</v>
      </c>
      <c r="K15" s="254">
        <f t="shared" ref="K15:K19" si="1">COUNTIF($B$14:$B$30,I15)</f>
        <v>2</v>
      </c>
      <c r="L15" s="254">
        <f t="shared" ref="L15:L19" si="2">COUNTIF($F$12:$F$37,I15)</f>
        <v>3</v>
      </c>
      <c r="M15" s="254">
        <f t="shared" ref="M15:M20" si="3">COUNTIF($C$14:$C$30,I15)+COUNTIF($G$12:$G$37,I15)</f>
        <v>2</v>
      </c>
      <c r="N15" s="241" t="e">
        <f>VLOOKUP(I15,'club-ville'!A:B,2,FALSE)</f>
        <v>#N/A</v>
      </c>
    </row>
    <row r="16" spans="1:14" ht="15" customHeight="1">
      <c r="A16" s="216"/>
      <c r="B16" s="215"/>
      <c r="C16" s="255"/>
      <c r="D16" s="222"/>
      <c r="E16" s="213"/>
      <c r="F16" s="248" t="str">
        <f>I17</f>
        <v>Equipe 4</v>
      </c>
      <c r="G16" s="238" t="str">
        <f>I19</f>
        <v>Equipe 6</v>
      </c>
      <c r="H16" s="216"/>
      <c r="I16" s="253" t="s">
        <v>431</v>
      </c>
      <c r="J16" s="254">
        <f t="shared" si="0"/>
        <v>5</v>
      </c>
      <c r="K16" s="254">
        <f t="shared" si="1"/>
        <v>2</v>
      </c>
      <c r="L16" s="254">
        <f t="shared" si="2"/>
        <v>3</v>
      </c>
      <c r="M16" s="254">
        <f t="shared" si="3"/>
        <v>2</v>
      </c>
      <c r="N16" s="241" t="e">
        <f>VLOOKUP(I16,'club-ville'!A:B,2,FALSE)</f>
        <v>#N/A</v>
      </c>
    </row>
    <row r="17" spans="1:14" ht="15" customHeight="1">
      <c r="A17" s="247" t="s">
        <v>26</v>
      </c>
      <c r="B17" s="248" t="str">
        <f>I16</f>
        <v>Equipe 3</v>
      </c>
      <c r="C17" s="249" t="s">
        <v>113</v>
      </c>
      <c r="D17" s="216"/>
      <c r="E17" s="216"/>
      <c r="F17" s="215"/>
      <c r="G17" s="252"/>
      <c r="H17" s="216"/>
      <c r="I17" s="253" t="s">
        <v>432</v>
      </c>
      <c r="J17" s="254">
        <f t="shared" si="0"/>
        <v>5</v>
      </c>
      <c r="K17" s="254">
        <f t="shared" si="1"/>
        <v>2</v>
      </c>
      <c r="L17" s="254">
        <f t="shared" si="2"/>
        <v>3</v>
      </c>
      <c r="M17" s="254">
        <f t="shared" si="3"/>
        <v>2</v>
      </c>
      <c r="N17" s="241" t="e">
        <f>VLOOKUP(I17,'club-ville'!A:B,2,FALSE)</f>
        <v>#N/A</v>
      </c>
    </row>
    <row r="18" spans="1:14" ht="15" customHeight="1">
      <c r="A18" s="213"/>
      <c r="B18" s="248" t="str">
        <f>I17</f>
        <v>Equipe 4</v>
      </c>
      <c r="C18" s="238" t="str">
        <f>I15</f>
        <v>Equipe 2</v>
      </c>
      <c r="D18" s="216"/>
      <c r="E18" s="247" t="s">
        <v>29</v>
      </c>
      <c r="F18" s="248" t="str">
        <f>I16</f>
        <v>Equipe 3</v>
      </c>
      <c r="G18" s="249" t="s">
        <v>113</v>
      </c>
      <c r="H18" s="216"/>
      <c r="I18" s="253" t="s">
        <v>433</v>
      </c>
      <c r="J18" s="254">
        <f t="shared" si="0"/>
        <v>5</v>
      </c>
      <c r="K18" s="254">
        <f t="shared" si="1"/>
        <v>2</v>
      </c>
      <c r="L18" s="254">
        <f t="shared" si="2"/>
        <v>3</v>
      </c>
      <c r="M18" s="254">
        <f t="shared" si="3"/>
        <v>2</v>
      </c>
      <c r="N18" s="241" t="e">
        <f>VLOOKUP(I18,'club-ville'!A:B,2,FALSE)</f>
        <v>#N/A</v>
      </c>
    </row>
    <row r="19" spans="1:14" ht="15" customHeight="1">
      <c r="A19" s="216"/>
      <c r="B19" s="215"/>
      <c r="C19" s="252"/>
      <c r="D19" s="222"/>
      <c r="E19" s="213"/>
      <c r="F19" s="248" t="str">
        <f>I18</f>
        <v>Equipe 5</v>
      </c>
      <c r="G19" s="238" t="str">
        <f>I14</f>
        <v>Equipe 1</v>
      </c>
      <c r="H19" s="216"/>
      <c r="I19" s="253" t="s">
        <v>434</v>
      </c>
      <c r="J19" s="254">
        <f t="shared" si="0"/>
        <v>5</v>
      </c>
      <c r="K19" s="254">
        <f t="shared" si="1"/>
        <v>2</v>
      </c>
      <c r="L19" s="254">
        <f t="shared" si="2"/>
        <v>3</v>
      </c>
      <c r="M19" s="254">
        <f t="shared" si="3"/>
        <v>2</v>
      </c>
      <c r="N19" s="241" t="e">
        <f>VLOOKUP(I19,'club-ville'!A:B,2,FALSE)</f>
        <v>#N/A</v>
      </c>
    </row>
    <row r="20" spans="1:14" ht="15" customHeight="1">
      <c r="A20" s="247" t="s">
        <v>28</v>
      </c>
      <c r="B20" s="248" t="str">
        <f>I18</f>
        <v>Equipe 5</v>
      </c>
      <c r="C20" s="249" t="s">
        <v>113</v>
      </c>
      <c r="D20" s="216"/>
      <c r="E20" s="216"/>
      <c r="F20" s="215"/>
      <c r="G20" s="252"/>
      <c r="H20" s="216"/>
      <c r="I20" s="256" t="s">
        <v>30</v>
      </c>
      <c r="J20" s="254"/>
      <c r="K20" s="254"/>
      <c r="L20" s="254"/>
      <c r="M20" s="254">
        <f t="shared" si="3"/>
        <v>3</v>
      </c>
    </row>
    <row r="21" spans="1:14" ht="15" customHeight="1">
      <c r="A21" s="213"/>
      <c r="B21" s="248" t="str">
        <f>I19</f>
        <v>Equipe 6</v>
      </c>
      <c r="C21" s="238" t="str">
        <f>I14</f>
        <v>Equipe 1</v>
      </c>
      <c r="D21" s="216"/>
      <c r="E21" s="247" t="s">
        <v>32</v>
      </c>
      <c r="F21" s="248" t="str">
        <f>I15</f>
        <v>Equipe 2</v>
      </c>
      <c r="G21" s="249" t="s">
        <v>113</v>
      </c>
      <c r="H21" s="216"/>
      <c r="J21" s="250"/>
    </row>
    <row r="22" spans="1:14" ht="15" customHeight="1">
      <c r="A22" s="216"/>
      <c r="B22" s="215"/>
      <c r="C22" s="252"/>
      <c r="D22" s="222"/>
      <c r="E22" s="213"/>
      <c r="F22" s="248" t="str">
        <f>I17</f>
        <v>Equipe 4</v>
      </c>
      <c r="G22" s="238" t="str">
        <f>I18</f>
        <v>Equipe 5</v>
      </c>
      <c r="H22" s="216"/>
    </row>
    <row r="23" spans="1:14" ht="15" customHeight="1">
      <c r="A23" s="247" t="s">
        <v>31</v>
      </c>
      <c r="B23" s="248" t="str">
        <f>I16</f>
        <v>Equipe 3</v>
      </c>
      <c r="C23" s="249" t="s">
        <v>113</v>
      </c>
      <c r="D23" s="216"/>
      <c r="E23" s="216"/>
      <c r="F23" s="215"/>
      <c r="G23" s="252"/>
      <c r="H23" s="216"/>
    </row>
    <row r="24" spans="1:14" ht="15" customHeight="1">
      <c r="A24" s="213"/>
      <c r="B24" s="248" t="str">
        <f>I15</f>
        <v>Equipe 2</v>
      </c>
      <c r="C24" s="238" t="str">
        <f>I17</f>
        <v>Equipe 4</v>
      </c>
      <c r="D24" s="216"/>
      <c r="E24" s="247" t="s">
        <v>34</v>
      </c>
      <c r="F24" s="248" t="str">
        <f>I16</f>
        <v>Equipe 3</v>
      </c>
      <c r="G24" s="249" t="s">
        <v>113</v>
      </c>
      <c r="H24" s="216"/>
      <c r="J24" s="222"/>
      <c r="K24" s="222"/>
    </row>
    <row r="25" spans="1:14" ht="15" customHeight="1">
      <c r="A25" s="216"/>
      <c r="B25" s="215"/>
      <c r="C25" s="252"/>
      <c r="D25" s="222"/>
      <c r="E25" s="213"/>
      <c r="F25" s="248" t="str">
        <f>I19</f>
        <v>Equipe 6</v>
      </c>
      <c r="G25" s="238" t="str">
        <f>I17</f>
        <v>Equipe 4</v>
      </c>
      <c r="H25" s="216"/>
      <c r="J25" s="222"/>
      <c r="K25" s="222"/>
    </row>
    <row r="26" spans="1:14" ht="15" customHeight="1">
      <c r="A26" s="247" t="s">
        <v>33</v>
      </c>
      <c r="B26" s="248" t="str">
        <f>I14</f>
        <v>Equipe 1</v>
      </c>
      <c r="C26" s="249" t="s">
        <v>113</v>
      </c>
      <c r="D26" s="216"/>
      <c r="E26" s="216"/>
      <c r="F26" s="215"/>
      <c r="G26" s="252"/>
      <c r="H26" s="216"/>
      <c r="J26" s="222"/>
      <c r="K26" s="222"/>
    </row>
    <row r="27" spans="1:14" ht="15" customHeight="1">
      <c r="A27" s="213"/>
      <c r="B27" s="248" t="str">
        <f>I19</f>
        <v>Equipe 6</v>
      </c>
      <c r="C27" s="238" t="str">
        <f>I15</f>
        <v>Equipe 2</v>
      </c>
      <c r="D27" s="216"/>
      <c r="E27" s="247" t="s">
        <v>36</v>
      </c>
      <c r="F27" s="248" t="str">
        <f>I14</f>
        <v>Equipe 1</v>
      </c>
      <c r="G27" s="249" t="s">
        <v>113</v>
      </c>
      <c r="H27" s="216"/>
      <c r="J27" s="256"/>
      <c r="K27" s="256"/>
    </row>
    <row r="28" spans="1:14" ht="15" customHeight="1">
      <c r="A28" s="216"/>
      <c r="B28" s="215"/>
      <c r="C28" s="252"/>
      <c r="D28" s="222"/>
      <c r="E28" s="213"/>
      <c r="F28" s="248" t="str">
        <f>I18</f>
        <v>Equipe 5</v>
      </c>
      <c r="G28" s="238" t="str">
        <f>I16</f>
        <v>Equipe 3</v>
      </c>
      <c r="H28" s="216"/>
      <c r="J28" s="222"/>
      <c r="K28" s="222"/>
    </row>
    <row r="29" spans="1:14" ht="15" customHeight="1">
      <c r="A29" s="247" t="s">
        <v>35</v>
      </c>
      <c r="B29" s="248" t="str">
        <f>I18</f>
        <v>Equipe 5</v>
      </c>
      <c r="C29" s="249" t="s">
        <v>113</v>
      </c>
      <c r="D29" s="216"/>
      <c r="E29" s="216"/>
      <c r="F29" s="215"/>
      <c r="G29" s="252"/>
      <c r="H29" s="216"/>
      <c r="J29" s="222"/>
      <c r="K29" s="222"/>
    </row>
    <row r="30" spans="1:14" ht="15" customHeight="1">
      <c r="A30" s="213"/>
      <c r="B30" s="248" t="str">
        <f>I17</f>
        <v>Equipe 4</v>
      </c>
      <c r="C30" s="257" t="str">
        <f>I16</f>
        <v>Equipe 3</v>
      </c>
      <c r="D30" s="216"/>
      <c r="E30" s="247" t="s">
        <v>37</v>
      </c>
      <c r="F30" s="248" t="str">
        <f>I17</f>
        <v>Equipe 4</v>
      </c>
      <c r="G30" s="249" t="s">
        <v>113</v>
      </c>
      <c r="H30" s="216"/>
      <c r="J30" s="223"/>
      <c r="K30" s="223"/>
    </row>
    <row r="31" spans="1:14" ht="15" customHeight="1">
      <c r="A31" s="216"/>
      <c r="B31" s="216"/>
      <c r="C31" s="258"/>
      <c r="D31" s="222"/>
      <c r="E31" s="213"/>
      <c r="F31" s="248" t="str">
        <f>I19</f>
        <v>Equipe 6</v>
      </c>
      <c r="G31" s="238" t="str">
        <f>I18</f>
        <v>Equipe 5</v>
      </c>
      <c r="H31" s="216"/>
      <c r="J31" s="259"/>
      <c r="K31" s="259"/>
    </row>
    <row r="32" spans="1:14" ht="15" customHeight="1">
      <c r="A32" s="216"/>
      <c r="B32" s="216"/>
      <c r="C32" s="216"/>
      <c r="D32" s="216"/>
      <c r="E32" s="216"/>
      <c r="F32" s="215"/>
      <c r="G32" s="252"/>
      <c r="H32" s="216"/>
      <c r="I32" s="222"/>
      <c r="J32" s="259"/>
      <c r="K32" s="259"/>
    </row>
    <row r="33" spans="1:9" ht="15" customHeight="1">
      <c r="A33" s="260" t="s">
        <v>466</v>
      </c>
      <c r="B33" s="261"/>
      <c r="C33" s="262"/>
      <c r="D33" s="216"/>
      <c r="E33" s="247" t="s">
        <v>38</v>
      </c>
      <c r="F33" s="248" t="str">
        <f>I18</f>
        <v>Equipe 5</v>
      </c>
      <c r="G33" s="249" t="s">
        <v>113</v>
      </c>
      <c r="H33" s="216"/>
      <c r="I33" s="222"/>
    </row>
    <row r="34" spans="1:9" ht="18.75" customHeight="1">
      <c r="A34" s="263"/>
      <c r="B34" s="264"/>
      <c r="C34" s="265"/>
      <c r="D34" s="222"/>
      <c r="E34" s="213"/>
      <c r="F34" s="248" t="str">
        <f>I15</f>
        <v>Equipe 2</v>
      </c>
      <c r="G34" s="238" t="str">
        <f>I19</f>
        <v>Equipe 6</v>
      </c>
      <c r="H34" s="216"/>
      <c r="I34" s="222"/>
    </row>
    <row r="35" spans="1:9" ht="15" customHeight="1">
      <c r="A35" s="263"/>
      <c r="B35" s="264"/>
      <c r="C35" s="265"/>
      <c r="D35" s="216"/>
      <c r="E35" s="216"/>
      <c r="F35" s="215"/>
      <c r="G35" s="252"/>
      <c r="H35" s="216"/>
      <c r="I35" s="222"/>
    </row>
    <row r="36" spans="1:9" ht="15" customHeight="1">
      <c r="A36" s="263"/>
      <c r="B36" s="264"/>
      <c r="C36" s="265"/>
      <c r="D36" s="216"/>
      <c r="E36" s="247" t="s">
        <v>39</v>
      </c>
      <c r="F36" s="248" t="str">
        <f>I16</f>
        <v>Equipe 3</v>
      </c>
      <c r="G36" s="249" t="s">
        <v>113</v>
      </c>
      <c r="H36" s="216"/>
      <c r="I36" s="223"/>
    </row>
    <row r="37" spans="1:9" ht="15" customHeight="1">
      <c r="A37" s="266"/>
      <c r="B37" s="267"/>
      <c r="C37" s="268"/>
      <c r="D37" s="222"/>
      <c r="E37" s="213"/>
      <c r="F37" s="248" t="str">
        <f>I14</f>
        <v>Equipe 1</v>
      </c>
      <c r="G37" s="238" t="str">
        <f>I20</f>
        <v>Directeur de tournoi</v>
      </c>
      <c r="H37" s="216"/>
      <c r="I37" s="223"/>
    </row>
    <row r="38" spans="1:9" ht="15" customHeight="1">
      <c r="A38" s="269"/>
      <c r="B38" s="269"/>
      <c r="C38" s="269"/>
      <c r="D38" s="222"/>
      <c r="E38" s="222"/>
      <c r="F38" s="223"/>
      <c r="G38" s="228"/>
      <c r="H38" s="216"/>
      <c r="I38" s="223"/>
    </row>
    <row r="39" spans="1:9" ht="15" customHeight="1">
      <c r="A39" s="270" t="s">
        <v>114</v>
      </c>
      <c r="B39" s="271"/>
      <c r="C39" s="271"/>
      <c r="D39" s="271"/>
      <c r="E39" s="271"/>
      <c r="F39" s="271"/>
      <c r="G39" s="272"/>
      <c r="H39" s="216"/>
      <c r="I39" s="223"/>
    </row>
    <row r="40" spans="1:9" ht="15" customHeight="1">
      <c r="A40" s="273"/>
      <c r="B40" s="274"/>
      <c r="C40" s="274"/>
      <c r="D40" s="274"/>
      <c r="E40" s="274"/>
      <c r="F40" s="274"/>
      <c r="G40" s="275"/>
      <c r="H40" s="216"/>
      <c r="I40" s="223"/>
    </row>
    <row r="41" spans="1:9" ht="15" customHeight="1">
      <c r="A41" s="276"/>
      <c r="B41" s="277"/>
      <c r="C41" s="277"/>
      <c r="D41" s="277"/>
      <c r="E41" s="277"/>
      <c r="F41" s="277"/>
      <c r="G41" s="278"/>
      <c r="H41" s="216"/>
      <c r="I41" s="223"/>
    </row>
    <row r="42" spans="1:9" ht="15" customHeight="1">
      <c r="I42" s="223"/>
    </row>
    <row r="43" spans="1:9" s="196" customFormat="1" ht="15" customHeight="1">
      <c r="C43" s="231" t="s">
        <v>464</v>
      </c>
      <c r="D43" s="232"/>
      <c r="E43" s="232"/>
      <c r="F43" s="233"/>
    </row>
    <row r="44" spans="1:9" s="196" customFormat="1" ht="15" customHeight="1">
      <c r="C44" s="234" t="s">
        <v>465</v>
      </c>
      <c r="D44" s="235"/>
      <c r="E44" s="235"/>
      <c r="F44" s="236"/>
    </row>
    <row r="45" spans="1:9" ht="30" customHeight="1">
      <c r="A45" s="194" t="s">
        <v>444</v>
      </c>
      <c r="B45" s="194"/>
      <c r="C45" s="194"/>
      <c r="D45" s="194"/>
      <c r="E45" s="194"/>
      <c r="F45" s="194"/>
      <c r="G45" s="194"/>
      <c r="H45" s="216"/>
      <c r="I45" s="216"/>
    </row>
    <row r="46" spans="1:9" ht="30" customHeight="1">
      <c r="A46" s="197" t="s">
        <v>426</v>
      </c>
      <c r="B46" s="197"/>
      <c r="C46" s="197"/>
      <c r="D46" s="197"/>
      <c r="E46" s="197"/>
      <c r="F46" s="197"/>
      <c r="G46" s="197"/>
      <c r="H46" s="216"/>
      <c r="I46" s="216"/>
    </row>
    <row r="47" spans="1:9" ht="30" customHeight="1">
      <c r="A47" s="197" t="s">
        <v>427</v>
      </c>
      <c r="B47" s="197"/>
      <c r="C47" s="197"/>
      <c r="D47" s="197"/>
      <c r="E47" s="197"/>
      <c r="F47" s="197"/>
      <c r="G47" s="197"/>
      <c r="H47" s="216"/>
      <c r="I47" s="216"/>
    </row>
    <row r="48" spans="1:9" ht="30" customHeight="1">
      <c r="A48" s="197" t="s">
        <v>428</v>
      </c>
      <c r="B48" s="197"/>
      <c r="C48" s="197"/>
      <c r="D48" s="197"/>
      <c r="E48" s="197"/>
      <c r="F48" s="197"/>
      <c r="G48" s="197"/>
      <c r="H48" s="216"/>
      <c r="I48" s="216"/>
    </row>
    <row r="49" spans="1:14" ht="30" customHeight="1">
      <c r="D49" s="198"/>
      <c r="H49" s="216"/>
      <c r="I49" s="216"/>
    </row>
    <row r="50" spans="1:14" ht="17.399999999999999">
      <c r="A50" s="242" t="e">
        <f>I58&amp;" ("&amp;N58&amp;")"</f>
        <v>#N/A</v>
      </c>
      <c r="B50" s="242"/>
      <c r="C50" s="242"/>
      <c r="D50" s="198"/>
      <c r="E50" s="242" t="e">
        <f>I61&amp;" ("&amp;N61&amp;")"</f>
        <v>#N/A</v>
      </c>
      <c r="F50" s="242"/>
      <c r="G50" s="242"/>
      <c r="H50" s="222"/>
      <c r="I50" s="216"/>
    </row>
    <row r="51" spans="1:14" ht="15" customHeight="1">
      <c r="A51" s="242" t="e">
        <f>I59&amp;" ("&amp;N59&amp;")"</f>
        <v>#N/A</v>
      </c>
      <c r="B51" s="242"/>
      <c r="C51" s="242"/>
      <c r="D51" s="198"/>
      <c r="E51" s="242" t="e">
        <f>I62&amp;" ("&amp;N62&amp;")"</f>
        <v>#N/A</v>
      </c>
      <c r="F51" s="242"/>
      <c r="G51" s="242"/>
      <c r="H51" s="222"/>
      <c r="I51" s="216"/>
    </row>
    <row r="52" spans="1:14" ht="15" customHeight="1">
      <c r="A52" s="242" t="e">
        <f>I60&amp;" ("&amp;N60&amp;")"</f>
        <v>#N/A</v>
      </c>
      <c r="B52" s="242"/>
      <c r="C52" s="242"/>
      <c r="D52" s="198"/>
      <c r="E52" s="242" t="e">
        <f>I63&amp;" ("&amp;N63&amp;")"</f>
        <v>#N/A</v>
      </c>
      <c r="F52" s="242"/>
      <c r="G52" s="242"/>
      <c r="H52" s="222"/>
      <c r="I52" s="216"/>
    </row>
    <row r="53" spans="1:14" ht="30" customHeight="1">
      <c r="A53" s="201"/>
      <c r="B53" s="201"/>
      <c r="C53" s="201"/>
      <c r="D53" s="201"/>
      <c r="E53" s="201"/>
      <c r="F53" s="201"/>
      <c r="G53" s="201"/>
      <c r="H53" s="222"/>
      <c r="I53" s="216"/>
    </row>
    <row r="54" spans="1:14" ht="15" customHeight="1">
      <c r="A54" s="243" t="s">
        <v>22</v>
      </c>
      <c r="B54" s="244"/>
      <c r="C54" s="245"/>
      <c r="D54" s="220"/>
      <c r="E54" s="243" t="s">
        <v>23</v>
      </c>
      <c r="F54" s="244"/>
      <c r="G54" s="245"/>
      <c r="H54" s="222"/>
      <c r="I54" s="216"/>
    </row>
    <row r="55" spans="1:14" ht="15" customHeight="1">
      <c r="A55" s="220"/>
      <c r="B55" s="207"/>
      <c r="C55" s="207"/>
      <c r="D55" s="220"/>
      <c r="E55" s="220"/>
      <c r="F55" s="207"/>
      <c r="G55" s="207"/>
      <c r="H55" s="222"/>
      <c r="I55" s="216"/>
    </row>
    <row r="56" spans="1:14" ht="15" customHeight="1">
      <c r="A56" s="246" t="s">
        <v>37</v>
      </c>
      <c r="B56" s="243" t="s">
        <v>77</v>
      </c>
      <c r="C56" s="245"/>
      <c r="D56" s="216"/>
      <c r="E56" s="247" t="s">
        <v>25</v>
      </c>
      <c r="F56" s="248" t="str">
        <f>I63</f>
        <v>Equipe 6</v>
      </c>
      <c r="G56" s="249" t="s">
        <v>113</v>
      </c>
      <c r="H56" s="222"/>
      <c r="I56" s="216"/>
    </row>
    <row r="57" spans="1:14" ht="15" customHeight="1">
      <c r="A57" s="220"/>
      <c r="B57" s="207"/>
      <c r="C57" s="207"/>
      <c r="D57" s="216"/>
      <c r="E57" s="213"/>
      <c r="F57" s="248" t="str">
        <f>I59</f>
        <v>Equipe 6</v>
      </c>
      <c r="G57" s="238" t="str">
        <f>I64</f>
        <v>Directeur de tournoi</v>
      </c>
      <c r="H57" s="216"/>
      <c r="I57" s="216"/>
    </row>
    <row r="58" spans="1:14" ht="15" customHeight="1">
      <c r="A58" s="247" t="s">
        <v>24</v>
      </c>
      <c r="B58" s="251" t="str">
        <f>I58</f>
        <v>Equipe 1</v>
      </c>
      <c r="C58" s="249" t="s">
        <v>113</v>
      </c>
      <c r="D58" s="216"/>
      <c r="E58" s="216"/>
      <c r="F58" s="215"/>
      <c r="G58" s="252"/>
      <c r="H58" s="216"/>
      <c r="I58" s="215" t="str">
        <f>'Résultats à 6'!I11:J11</f>
        <v>Equipe 1</v>
      </c>
      <c r="J58" s="254">
        <f>COUNTIF($B$58:$B$74,I58)+COUNTIF($F$56:$F$81,I58)</f>
        <v>5</v>
      </c>
      <c r="K58" s="254">
        <f>COUNTIF($B$58:$B$74,I58)</f>
        <v>2</v>
      </c>
      <c r="L58" s="254">
        <f>COUNTIF($F$56:$F$81,I58)</f>
        <v>3</v>
      </c>
      <c r="M58" s="254">
        <f>COUNTIF($C$58:$C$74,I58)+COUNTIF($G$56:$G$81,I58)</f>
        <v>2</v>
      </c>
      <c r="N58" s="241" t="e">
        <f>VLOOKUP(I58,'club-ville'!A:B,2,FALSE)</f>
        <v>#N/A</v>
      </c>
    </row>
    <row r="59" spans="1:14" ht="15" customHeight="1">
      <c r="A59" s="213"/>
      <c r="B59" s="251" t="str">
        <f>I59</f>
        <v>Equipe 6</v>
      </c>
      <c r="C59" s="238" t="str">
        <f>I64</f>
        <v>Directeur de tournoi</v>
      </c>
      <c r="D59" s="216"/>
      <c r="E59" s="247" t="s">
        <v>27</v>
      </c>
      <c r="F59" s="248" t="str">
        <f>I58</f>
        <v>Equipe 1</v>
      </c>
      <c r="G59" s="249" t="s">
        <v>113</v>
      </c>
      <c r="H59" s="216"/>
      <c r="I59" s="215" t="str">
        <f>'Résultats à 6'!I12:J12</f>
        <v>Equipe 6</v>
      </c>
      <c r="J59" s="254">
        <f t="shared" ref="J59:J63" si="4">COUNTIF($B$58:$B$74,I59)+COUNTIF($F$56:$F$81,I59)</f>
        <v>25</v>
      </c>
      <c r="K59" s="254">
        <f t="shared" ref="K59:K63" si="5">COUNTIF($B$58:$B$74,I59)</f>
        <v>10</v>
      </c>
      <c r="L59" s="254">
        <f t="shared" ref="L59:L63" si="6">COUNTIF($F$56:$F$81,I59)</f>
        <v>15</v>
      </c>
      <c r="M59" s="254">
        <f t="shared" ref="M59:M64" si="7">COUNTIF($C$58:$C$74,I59)+COUNTIF($G$56:$G$81,I59)</f>
        <v>10</v>
      </c>
      <c r="N59" s="241" t="e">
        <f>VLOOKUP(I59,'club-ville'!A:B,2,FALSE)</f>
        <v>#N/A</v>
      </c>
    </row>
    <row r="60" spans="1:14" ht="15" customHeight="1">
      <c r="A60" s="216"/>
      <c r="B60" s="215"/>
      <c r="C60" s="255"/>
      <c r="D60" s="222"/>
      <c r="E60" s="213"/>
      <c r="F60" s="248" t="str">
        <f>I61</f>
        <v>Equipe 6</v>
      </c>
      <c r="G60" s="238" t="str">
        <f>I63</f>
        <v>Equipe 6</v>
      </c>
      <c r="H60" s="216"/>
      <c r="I60" s="215" t="str">
        <f>'Résultats à 6'!I13:J13</f>
        <v>Equipe 6</v>
      </c>
      <c r="J60" s="254">
        <f t="shared" si="4"/>
        <v>25</v>
      </c>
      <c r="K60" s="254">
        <f t="shared" si="5"/>
        <v>10</v>
      </c>
      <c r="L60" s="254">
        <f t="shared" si="6"/>
        <v>15</v>
      </c>
      <c r="M60" s="254">
        <f t="shared" si="7"/>
        <v>10</v>
      </c>
      <c r="N60" s="241" t="e">
        <f>VLOOKUP(I60,'club-ville'!A:B,2,FALSE)</f>
        <v>#N/A</v>
      </c>
    </row>
    <row r="61" spans="1:14" ht="15" customHeight="1">
      <c r="A61" s="247" t="s">
        <v>26</v>
      </c>
      <c r="B61" s="248" t="str">
        <f>I60</f>
        <v>Equipe 6</v>
      </c>
      <c r="C61" s="249" t="s">
        <v>113</v>
      </c>
      <c r="D61" s="216"/>
      <c r="E61" s="216"/>
      <c r="F61" s="215"/>
      <c r="G61" s="252"/>
      <c r="H61" s="216"/>
      <c r="I61" s="215" t="str">
        <f>'Résultats à 6'!I14:J14</f>
        <v>Equipe 6</v>
      </c>
      <c r="J61" s="254">
        <f t="shared" si="4"/>
        <v>25</v>
      </c>
      <c r="K61" s="254">
        <f t="shared" si="5"/>
        <v>10</v>
      </c>
      <c r="L61" s="254">
        <f t="shared" si="6"/>
        <v>15</v>
      </c>
      <c r="M61" s="254">
        <f t="shared" si="7"/>
        <v>10</v>
      </c>
      <c r="N61" s="241" t="e">
        <f>VLOOKUP(I61,'club-ville'!A:B,2,FALSE)</f>
        <v>#N/A</v>
      </c>
    </row>
    <row r="62" spans="1:14" ht="15" customHeight="1">
      <c r="A62" s="213"/>
      <c r="B62" s="248" t="str">
        <f>I61</f>
        <v>Equipe 6</v>
      </c>
      <c r="C62" s="238" t="str">
        <f>I59</f>
        <v>Equipe 6</v>
      </c>
      <c r="D62" s="216"/>
      <c r="E62" s="247" t="s">
        <v>29</v>
      </c>
      <c r="F62" s="248" t="str">
        <f>I60</f>
        <v>Equipe 6</v>
      </c>
      <c r="G62" s="249" t="s">
        <v>113</v>
      </c>
      <c r="H62" s="216"/>
      <c r="I62" s="215" t="str">
        <f>'Résultats à 6'!I15:J15</f>
        <v>Equipe 6</v>
      </c>
      <c r="J62" s="254">
        <f t="shared" si="4"/>
        <v>25</v>
      </c>
      <c r="K62" s="254">
        <f t="shared" si="5"/>
        <v>10</v>
      </c>
      <c r="L62" s="254">
        <f t="shared" si="6"/>
        <v>15</v>
      </c>
      <c r="M62" s="254">
        <f t="shared" si="7"/>
        <v>10</v>
      </c>
      <c r="N62" s="241" t="e">
        <f>VLOOKUP(I62,'club-ville'!A:B,2,FALSE)</f>
        <v>#N/A</v>
      </c>
    </row>
    <row r="63" spans="1:14" ht="15" customHeight="1">
      <c r="A63" s="216"/>
      <c r="B63" s="215"/>
      <c r="C63" s="252"/>
      <c r="D63" s="222"/>
      <c r="E63" s="213"/>
      <c r="F63" s="248" t="str">
        <f>I62</f>
        <v>Equipe 6</v>
      </c>
      <c r="G63" s="238" t="str">
        <f>I58</f>
        <v>Equipe 1</v>
      </c>
      <c r="H63" s="216"/>
      <c r="I63" s="215" t="str">
        <f>'Résultats à 6'!I16:J16</f>
        <v>Equipe 6</v>
      </c>
      <c r="J63" s="254">
        <f t="shared" si="4"/>
        <v>25</v>
      </c>
      <c r="K63" s="254">
        <f t="shared" si="5"/>
        <v>10</v>
      </c>
      <c r="L63" s="254">
        <f t="shared" si="6"/>
        <v>15</v>
      </c>
      <c r="M63" s="254">
        <f t="shared" si="7"/>
        <v>10</v>
      </c>
      <c r="N63" s="241" t="e">
        <f>VLOOKUP(I63,'club-ville'!A:B,2,FALSE)</f>
        <v>#N/A</v>
      </c>
    </row>
    <row r="64" spans="1:14" ht="15" customHeight="1">
      <c r="A64" s="247" t="s">
        <v>28</v>
      </c>
      <c r="B64" s="248" t="str">
        <f>I62</f>
        <v>Equipe 6</v>
      </c>
      <c r="C64" s="249" t="s">
        <v>113</v>
      </c>
      <c r="D64" s="216"/>
      <c r="E64" s="216"/>
      <c r="F64" s="215"/>
      <c r="G64" s="252"/>
      <c r="H64" s="216"/>
      <c r="I64" s="256" t="s">
        <v>30</v>
      </c>
      <c r="J64" s="254"/>
      <c r="K64" s="254"/>
      <c r="L64" s="254"/>
      <c r="M64" s="254">
        <f t="shared" si="7"/>
        <v>3</v>
      </c>
    </row>
    <row r="65" spans="1:13" ht="15" customHeight="1">
      <c r="A65" s="213"/>
      <c r="B65" s="248" t="str">
        <f>I63</f>
        <v>Equipe 6</v>
      </c>
      <c r="C65" s="238" t="str">
        <f>I58</f>
        <v>Equipe 1</v>
      </c>
      <c r="D65" s="216"/>
      <c r="E65" s="247" t="s">
        <v>32</v>
      </c>
      <c r="F65" s="248" t="str">
        <f>I59</f>
        <v>Equipe 6</v>
      </c>
      <c r="G65" s="249" t="s">
        <v>113</v>
      </c>
      <c r="H65" s="216"/>
      <c r="I65" s="256"/>
      <c r="J65" s="254"/>
      <c r="K65" s="254"/>
      <c r="L65" s="254"/>
      <c r="M65" s="254"/>
    </row>
    <row r="66" spans="1:13" ht="15" customHeight="1">
      <c r="A66" s="216"/>
      <c r="B66" s="215"/>
      <c r="C66" s="252"/>
      <c r="D66" s="222"/>
      <c r="E66" s="213"/>
      <c r="F66" s="248" t="str">
        <f>I61</f>
        <v>Equipe 6</v>
      </c>
      <c r="G66" s="238" t="str">
        <f>I62</f>
        <v>Equipe 6</v>
      </c>
      <c r="H66" s="216"/>
      <c r="J66" s="254"/>
      <c r="K66" s="254"/>
      <c r="L66" s="254"/>
      <c r="M66" s="254"/>
    </row>
    <row r="67" spans="1:13" ht="15" customHeight="1">
      <c r="A67" s="247" t="s">
        <v>31</v>
      </c>
      <c r="B67" s="248" t="str">
        <f>I60</f>
        <v>Equipe 6</v>
      </c>
      <c r="C67" s="249" t="s">
        <v>113</v>
      </c>
      <c r="D67" s="216"/>
      <c r="E67" s="216"/>
      <c r="F67" s="215"/>
      <c r="G67" s="252"/>
      <c r="H67" s="216"/>
      <c r="J67" s="254"/>
      <c r="K67" s="254"/>
      <c r="L67" s="254"/>
      <c r="M67" s="254"/>
    </row>
    <row r="68" spans="1:13" ht="15" customHeight="1">
      <c r="A68" s="213"/>
      <c r="B68" s="248" t="str">
        <f>I59</f>
        <v>Equipe 6</v>
      </c>
      <c r="C68" s="238" t="str">
        <f>I61</f>
        <v>Equipe 6</v>
      </c>
      <c r="D68" s="216"/>
      <c r="E68" s="247" t="s">
        <v>34</v>
      </c>
      <c r="F68" s="248" t="str">
        <f>I60</f>
        <v>Equipe 6</v>
      </c>
      <c r="G68" s="249" t="s">
        <v>113</v>
      </c>
      <c r="H68" s="216"/>
      <c r="J68" s="254"/>
      <c r="K68" s="254"/>
      <c r="L68" s="254"/>
      <c r="M68" s="254"/>
    </row>
    <row r="69" spans="1:13" ht="15" customHeight="1">
      <c r="A69" s="216"/>
      <c r="B69" s="215"/>
      <c r="C69" s="252"/>
      <c r="D69" s="222"/>
      <c r="E69" s="213"/>
      <c r="F69" s="248" t="str">
        <f>I63</f>
        <v>Equipe 6</v>
      </c>
      <c r="G69" s="238" t="str">
        <f>I61</f>
        <v>Equipe 6</v>
      </c>
      <c r="H69" s="216"/>
      <c r="J69" s="254"/>
      <c r="K69" s="254"/>
      <c r="L69" s="254"/>
      <c r="M69" s="254"/>
    </row>
    <row r="70" spans="1:13" ht="15" customHeight="1">
      <c r="A70" s="247" t="s">
        <v>33</v>
      </c>
      <c r="B70" s="248" t="str">
        <f>I58</f>
        <v>Equipe 1</v>
      </c>
      <c r="C70" s="249" t="s">
        <v>113</v>
      </c>
      <c r="D70" s="216"/>
      <c r="E70" s="216"/>
      <c r="F70" s="215"/>
      <c r="G70" s="252"/>
      <c r="H70" s="216"/>
      <c r="J70" s="254"/>
      <c r="K70" s="254"/>
      <c r="L70" s="254"/>
      <c r="M70" s="254"/>
    </row>
    <row r="71" spans="1:13" ht="15" customHeight="1">
      <c r="A71" s="213"/>
      <c r="B71" s="248" t="str">
        <f>I63</f>
        <v>Equipe 6</v>
      </c>
      <c r="C71" s="238" t="str">
        <f>I59</f>
        <v>Equipe 6</v>
      </c>
      <c r="D71" s="216"/>
      <c r="E71" s="247" t="s">
        <v>36</v>
      </c>
      <c r="F71" s="248" t="str">
        <f>I58</f>
        <v>Equipe 1</v>
      </c>
      <c r="G71" s="249" t="s">
        <v>113</v>
      </c>
      <c r="H71" s="216"/>
      <c r="J71" s="254"/>
      <c r="K71" s="254"/>
      <c r="L71" s="254"/>
      <c r="M71" s="254"/>
    </row>
    <row r="72" spans="1:13" ht="15" customHeight="1">
      <c r="A72" s="216"/>
      <c r="B72" s="215"/>
      <c r="C72" s="252"/>
      <c r="D72" s="222"/>
      <c r="E72" s="213"/>
      <c r="F72" s="248" t="str">
        <f>I62</f>
        <v>Equipe 6</v>
      </c>
      <c r="G72" s="238" t="str">
        <f>I60</f>
        <v>Equipe 6</v>
      </c>
      <c r="H72" s="216"/>
      <c r="J72" s="250"/>
    </row>
    <row r="73" spans="1:13" ht="15" customHeight="1">
      <c r="A73" s="247" t="s">
        <v>35</v>
      </c>
      <c r="B73" s="248" t="str">
        <f>I62</f>
        <v>Equipe 6</v>
      </c>
      <c r="C73" s="249" t="s">
        <v>113</v>
      </c>
      <c r="D73" s="216"/>
      <c r="E73" s="216"/>
      <c r="F73" s="215"/>
      <c r="G73" s="252"/>
      <c r="H73" s="216"/>
    </row>
    <row r="74" spans="1:13" ht="15" customHeight="1">
      <c r="A74" s="213"/>
      <c r="B74" s="248" t="str">
        <f>I61</f>
        <v>Equipe 6</v>
      </c>
      <c r="C74" s="257" t="str">
        <f>I60</f>
        <v>Equipe 6</v>
      </c>
      <c r="D74" s="216"/>
      <c r="E74" s="247" t="s">
        <v>37</v>
      </c>
      <c r="F74" s="248" t="str">
        <f>I61</f>
        <v>Equipe 6</v>
      </c>
      <c r="G74" s="249" t="s">
        <v>113</v>
      </c>
      <c r="H74" s="216"/>
    </row>
    <row r="75" spans="1:13" ht="15" customHeight="1">
      <c r="A75" s="216"/>
      <c r="B75" s="216"/>
      <c r="C75" s="258"/>
      <c r="D75" s="222"/>
      <c r="E75" s="213"/>
      <c r="F75" s="248" t="str">
        <f>I63</f>
        <v>Equipe 6</v>
      </c>
      <c r="G75" s="238" t="str">
        <f>I62</f>
        <v>Equipe 6</v>
      </c>
      <c r="H75" s="216"/>
      <c r="J75" s="223"/>
      <c r="K75" s="223"/>
    </row>
    <row r="76" spans="1:13" ht="15" customHeight="1">
      <c r="A76" s="216"/>
      <c r="B76" s="216"/>
      <c r="C76" s="216"/>
      <c r="D76" s="216"/>
      <c r="E76" s="216"/>
      <c r="F76" s="215"/>
      <c r="G76" s="252"/>
      <c r="H76" s="216"/>
      <c r="I76" s="223"/>
      <c r="J76" s="223"/>
      <c r="K76" s="223"/>
    </row>
    <row r="77" spans="1:13" ht="15" customHeight="1">
      <c r="A77" s="260" t="s">
        <v>466</v>
      </c>
      <c r="B77" s="261"/>
      <c r="C77" s="262"/>
      <c r="D77" s="216"/>
      <c r="E77" s="247" t="s">
        <v>38</v>
      </c>
      <c r="F77" s="248" t="str">
        <f>I62</f>
        <v>Equipe 6</v>
      </c>
      <c r="G77" s="249" t="s">
        <v>113</v>
      </c>
      <c r="H77" s="216"/>
      <c r="I77" s="222"/>
      <c r="J77" s="222"/>
      <c r="K77" s="222"/>
    </row>
    <row r="78" spans="1:13" ht="15" customHeight="1">
      <c r="A78" s="263"/>
      <c r="B78" s="264"/>
      <c r="C78" s="265"/>
      <c r="D78" s="222"/>
      <c r="E78" s="213"/>
      <c r="F78" s="248" t="str">
        <f>I59</f>
        <v>Equipe 6</v>
      </c>
      <c r="G78" s="238" t="str">
        <f>I63</f>
        <v>Equipe 6</v>
      </c>
      <c r="H78" s="216"/>
      <c r="I78" s="253"/>
      <c r="J78" s="253"/>
      <c r="K78" s="253"/>
    </row>
    <row r="79" spans="1:13" ht="15" customHeight="1">
      <c r="A79" s="263"/>
      <c r="B79" s="264"/>
      <c r="C79" s="265"/>
      <c r="D79" s="216"/>
      <c r="E79" s="216"/>
      <c r="F79" s="215"/>
      <c r="G79" s="252"/>
      <c r="H79" s="216"/>
      <c r="I79" s="223"/>
      <c r="J79" s="223"/>
      <c r="K79" s="223"/>
    </row>
    <row r="80" spans="1:13" ht="15" customHeight="1">
      <c r="A80" s="263"/>
      <c r="B80" s="264"/>
      <c r="C80" s="265"/>
      <c r="D80" s="216"/>
      <c r="E80" s="247" t="s">
        <v>39</v>
      </c>
      <c r="F80" s="248" t="str">
        <f>I60</f>
        <v>Equipe 6</v>
      </c>
      <c r="G80" s="249" t="s">
        <v>113</v>
      </c>
      <c r="H80" s="216"/>
      <c r="I80" s="223"/>
      <c r="J80" s="223"/>
      <c r="K80" s="223"/>
    </row>
    <row r="81" spans="1:11" ht="15" customHeight="1">
      <c r="A81" s="266"/>
      <c r="B81" s="267"/>
      <c r="C81" s="268"/>
      <c r="D81" s="222"/>
      <c r="E81" s="213"/>
      <c r="F81" s="248" t="str">
        <f>I58</f>
        <v>Equipe 1</v>
      </c>
      <c r="G81" s="238" t="str">
        <f>I64</f>
        <v>Directeur de tournoi</v>
      </c>
      <c r="H81" s="216"/>
      <c r="I81" s="223"/>
      <c r="J81" s="223"/>
      <c r="K81" s="223"/>
    </row>
    <row r="82" spans="1:11" ht="15" customHeight="1">
      <c r="A82" s="269"/>
      <c r="B82" s="269"/>
      <c r="C82" s="269"/>
      <c r="D82" s="222"/>
      <c r="E82" s="222"/>
      <c r="F82" s="223"/>
      <c r="G82" s="228"/>
      <c r="H82" s="216"/>
      <c r="I82" s="223"/>
      <c r="J82" s="259"/>
      <c r="K82" s="259"/>
    </row>
    <row r="83" spans="1:11" ht="15" customHeight="1">
      <c r="A83" s="279" t="s">
        <v>114</v>
      </c>
      <c r="B83" s="279"/>
      <c r="C83" s="279"/>
      <c r="D83" s="279"/>
      <c r="E83" s="279"/>
      <c r="F83" s="279"/>
      <c r="G83" s="279"/>
      <c r="H83" s="216"/>
      <c r="I83" s="223"/>
      <c r="J83" s="259"/>
      <c r="K83" s="259"/>
    </row>
    <row r="84" spans="1:11" ht="15" customHeight="1">
      <c r="A84" s="279"/>
      <c r="B84" s="279"/>
      <c r="C84" s="279"/>
      <c r="D84" s="279"/>
      <c r="E84" s="279"/>
      <c r="F84" s="279"/>
      <c r="G84" s="279"/>
      <c r="H84" s="216"/>
      <c r="I84" s="223"/>
      <c r="J84" s="259"/>
      <c r="K84" s="259"/>
    </row>
    <row r="85" spans="1:11" ht="15" customHeight="1">
      <c r="A85" s="279"/>
      <c r="B85" s="279"/>
      <c r="C85" s="279"/>
      <c r="D85" s="279"/>
      <c r="E85" s="279"/>
      <c r="F85" s="279"/>
      <c r="G85" s="279"/>
      <c r="H85" s="216"/>
      <c r="I85" s="223"/>
      <c r="J85" s="259"/>
      <c r="K85" s="259"/>
    </row>
    <row r="86" spans="1:11" ht="15" customHeight="1">
      <c r="H86" s="216"/>
      <c r="I86" s="223"/>
    </row>
    <row r="87" spans="1:11" s="196" customFormat="1" ht="15" customHeight="1">
      <c r="C87" s="231" t="s">
        <v>464</v>
      </c>
      <c r="D87" s="232"/>
      <c r="E87" s="232"/>
      <c r="F87" s="233"/>
    </row>
    <row r="88" spans="1:11" s="196" customFormat="1" ht="15" customHeight="1">
      <c r="C88" s="234" t="s">
        <v>465</v>
      </c>
      <c r="D88" s="235"/>
      <c r="E88" s="235"/>
      <c r="F88" s="236"/>
    </row>
  </sheetData>
  <mergeCells count="64">
    <mergeCell ref="C87:F87"/>
    <mergeCell ref="C88:F88"/>
    <mergeCell ref="A70:A71"/>
    <mergeCell ref="E71:E72"/>
    <mergeCell ref="A73:A74"/>
    <mergeCell ref="E74:E75"/>
    <mergeCell ref="A77:C81"/>
    <mergeCell ref="E77:E78"/>
    <mergeCell ref="E80:E81"/>
    <mergeCell ref="A83:G85"/>
    <mergeCell ref="A61:A62"/>
    <mergeCell ref="E62:E63"/>
    <mergeCell ref="A64:A65"/>
    <mergeCell ref="E65:E66"/>
    <mergeCell ref="A67:A68"/>
    <mergeCell ref="E68:E69"/>
    <mergeCell ref="A54:C54"/>
    <mergeCell ref="E54:G54"/>
    <mergeCell ref="B56:C56"/>
    <mergeCell ref="E56:E57"/>
    <mergeCell ref="A58:A59"/>
    <mergeCell ref="E59:E60"/>
    <mergeCell ref="A50:C50"/>
    <mergeCell ref="E50:G50"/>
    <mergeCell ref="A51:C51"/>
    <mergeCell ref="E51:G51"/>
    <mergeCell ref="A52:C52"/>
    <mergeCell ref="E52:G52"/>
    <mergeCell ref="A48:G48"/>
    <mergeCell ref="A29:A30"/>
    <mergeCell ref="E30:E31"/>
    <mergeCell ref="A33:C37"/>
    <mergeCell ref="E33:E34"/>
    <mergeCell ref="E36:E37"/>
    <mergeCell ref="C43:F43"/>
    <mergeCell ref="C44:F44"/>
    <mergeCell ref="A45:G45"/>
    <mergeCell ref="A46:G46"/>
    <mergeCell ref="A47:G47"/>
    <mergeCell ref="A39:G41"/>
    <mergeCell ref="A20:A21"/>
    <mergeCell ref="E21:E22"/>
    <mergeCell ref="A23:A24"/>
    <mergeCell ref="E24:E25"/>
    <mergeCell ref="A26:A27"/>
    <mergeCell ref="E27:E28"/>
    <mergeCell ref="B12:C12"/>
    <mergeCell ref="E12:E13"/>
    <mergeCell ref="A14:A15"/>
    <mergeCell ref="E15:E16"/>
    <mergeCell ref="A17:A18"/>
    <mergeCell ref="E18:E19"/>
    <mergeCell ref="A7:C7"/>
    <mergeCell ref="E7:G7"/>
    <mergeCell ref="A8:C8"/>
    <mergeCell ref="E8:G8"/>
    <mergeCell ref="A10:C10"/>
    <mergeCell ref="E10:G10"/>
    <mergeCell ref="A1:G1"/>
    <mergeCell ref="A2:G2"/>
    <mergeCell ref="A3:G3"/>
    <mergeCell ref="A4:G4"/>
    <mergeCell ref="A6:C6"/>
    <mergeCell ref="E6:G6"/>
  </mergeCells>
  <hyperlinks>
    <hyperlink ref="C44" r:id="rId1" display="fabiocloclo@yahoo.fr / 06.77.96.02.20"/>
    <hyperlink ref="C88" r:id="rId2" display="fabiocloclo@yahoo.fr / 06.77.96.02.20"/>
  </hyperlinks>
  <printOptions horizontalCentered="1" verticalCentered="1"/>
  <pageMargins left="0.39370078740157483" right="0.39370078740157483" top="0.39370078740157483" bottom="0.39370078740157483" header="0.39370078740157483" footer="0.59055118110236227"/>
  <pageSetup paperSize="9" fitToHeight="2" orientation="portrait" r:id="rId3"/>
  <headerFooter alignWithMargins="0">
    <oddHeader>&amp;R&amp;G</oddHeader>
    <oddFooter>&amp;C&amp;8© 2017 - Fédération Flying Disc France&amp;R&amp;8&amp;D</oddFooter>
  </headerFooter>
  <rowBreaks count="1" manualBreakCount="1">
    <brk id="44" max="6" man="1"/>
  </rowBreaks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P34"/>
  <sheetViews>
    <sheetView view="pageBreakPreview" zoomScaleSheetLayoutView="100" workbookViewId="0">
      <selection activeCell="Q11" sqref="Q11"/>
    </sheetView>
  </sheetViews>
  <sheetFormatPr baseColWidth="10" defaultRowHeight="15" outlineLevelRow="1"/>
  <cols>
    <col min="1" max="1" width="16.77734375" style="33" customWidth="1"/>
    <col min="2" max="14" width="8.77734375" style="33" customWidth="1"/>
    <col min="15" max="16" width="2.5546875" style="33" bestFit="1" customWidth="1"/>
    <col min="17" max="16384" width="11.5546875" style="33"/>
  </cols>
  <sheetData>
    <row r="1" spans="1:16" s="48" customFormat="1">
      <c r="A1" s="174" t="s">
        <v>435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s="48" customFormat="1" outlineLevel="1">
      <c r="B2" s="60" t="s">
        <v>166</v>
      </c>
      <c r="C2" s="176" t="str">
        <f>A3</f>
        <v>Equipe 1</v>
      </c>
      <c r="D2" s="176"/>
      <c r="E2" s="176" t="str">
        <f>A4</f>
        <v>Equipe 2</v>
      </c>
      <c r="F2" s="176"/>
      <c r="G2" s="176" t="str">
        <f>A5</f>
        <v>Equipe 3</v>
      </c>
      <c r="H2" s="176"/>
      <c r="I2" s="176" t="str">
        <f>A6</f>
        <v>Equipe 4</v>
      </c>
      <c r="J2" s="176"/>
      <c r="K2" s="176" t="str">
        <f>A7</f>
        <v>Equipe 5</v>
      </c>
      <c r="L2" s="176"/>
      <c r="M2" s="176" t="str">
        <f>A8</f>
        <v>Equipe 6</v>
      </c>
      <c r="N2" s="176"/>
      <c r="O2" s="61" t="s">
        <v>167</v>
      </c>
      <c r="P2" s="62" t="s">
        <v>168</v>
      </c>
    </row>
    <row r="3" spans="1:16" outlineLevel="1">
      <c r="A3" s="38" t="str">
        <f>'Planning à 6'!I14</f>
        <v>Equipe 1</v>
      </c>
      <c r="B3" s="39"/>
      <c r="C3" s="40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>
        <f t="shared" ref="O3:O8" si="0">IF(C3&gt;D3,1,0)+IF(E3&gt;F3,1,0)+IF(G3&gt;H3,1,0)+IF(I3&gt;J3,1,0)+IF(K3&gt;L3,1,0)+IF(M3&gt;N3,1,0)</f>
        <v>0</v>
      </c>
      <c r="P3" s="37">
        <f t="shared" ref="P3:P8" si="1">IF(C3&lt;D3,1,0)+IF(E3&lt;F3,1,0)+IF(G3&lt;H3,1,0)+IF(I3&lt;J3,1,0)+IF(K3&lt;L3,1,0)+IF(M3&lt;N3,1,0)</f>
        <v>0</v>
      </c>
    </row>
    <row r="4" spans="1:16" outlineLevel="1">
      <c r="A4" s="38" t="str">
        <f>'Planning à 6'!I15</f>
        <v>Equipe 2</v>
      </c>
      <c r="B4" s="39"/>
      <c r="C4" s="43">
        <f>F3</f>
        <v>0</v>
      </c>
      <c r="D4" s="43">
        <f>E3</f>
        <v>0</v>
      </c>
      <c r="E4" s="40"/>
      <c r="F4" s="40"/>
      <c r="G4" s="41"/>
      <c r="H4" s="41"/>
      <c r="I4" s="41"/>
      <c r="J4" s="41"/>
      <c r="K4" s="41"/>
      <c r="L4" s="41"/>
      <c r="M4" s="41"/>
      <c r="N4" s="41"/>
      <c r="O4" s="42">
        <f t="shared" si="0"/>
        <v>0</v>
      </c>
      <c r="P4" s="37">
        <f t="shared" si="1"/>
        <v>0</v>
      </c>
    </row>
    <row r="5" spans="1:16" outlineLevel="1">
      <c r="A5" s="38" t="str">
        <f>'Planning à 6'!I16</f>
        <v>Equipe 3</v>
      </c>
      <c r="B5" s="39"/>
      <c r="C5" s="43">
        <f>H3</f>
        <v>0</v>
      </c>
      <c r="D5" s="43">
        <f>G3</f>
        <v>0</v>
      </c>
      <c r="E5" s="43">
        <f>H4</f>
        <v>0</v>
      </c>
      <c r="F5" s="43">
        <f>G4</f>
        <v>0</v>
      </c>
      <c r="G5" s="40"/>
      <c r="H5" s="40"/>
      <c r="I5" s="41"/>
      <c r="J5" s="41"/>
      <c r="K5" s="41"/>
      <c r="L5" s="41"/>
      <c r="M5" s="41"/>
      <c r="N5" s="41"/>
      <c r="O5" s="42">
        <f t="shared" si="0"/>
        <v>0</v>
      </c>
      <c r="P5" s="37">
        <f t="shared" si="1"/>
        <v>0</v>
      </c>
    </row>
    <row r="6" spans="1:16" outlineLevel="1">
      <c r="A6" s="38" t="str">
        <f>'Planning à 6'!I17</f>
        <v>Equipe 4</v>
      </c>
      <c r="B6" s="39"/>
      <c r="C6" s="43">
        <f>J3</f>
        <v>0</v>
      </c>
      <c r="D6" s="43">
        <f>I3</f>
        <v>0</v>
      </c>
      <c r="E6" s="43">
        <f>J4</f>
        <v>0</v>
      </c>
      <c r="F6" s="43">
        <f>I4</f>
        <v>0</v>
      </c>
      <c r="G6" s="43">
        <f>J5</f>
        <v>0</v>
      </c>
      <c r="H6" s="43">
        <f>I5</f>
        <v>0</v>
      </c>
      <c r="I6" s="40"/>
      <c r="J6" s="40"/>
      <c r="K6" s="41"/>
      <c r="L6" s="41"/>
      <c r="M6" s="41"/>
      <c r="N6" s="41"/>
      <c r="O6" s="42">
        <f t="shared" si="0"/>
        <v>0</v>
      </c>
      <c r="P6" s="37">
        <f t="shared" si="1"/>
        <v>0</v>
      </c>
    </row>
    <row r="7" spans="1:16" outlineLevel="1">
      <c r="A7" s="38" t="str">
        <f>'Planning à 6'!I18</f>
        <v>Equipe 5</v>
      </c>
      <c r="B7" s="39"/>
      <c r="C7" s="44">
        <f>L3</f>
        <v>0</v>
      </c>
      <c r="D7" s="44">
        <f>K3</f>
        <v>0</v>
      </c>
      <c r="E7" s="43">
        <f>L4</f>
        <v>0</v>
      </c>
      <c r="F7" s="43">
        <f>K4</f>
        <v>0</v>
      </c>
      <c r="G7" s="44">
        <f>L5</f>
        <v>0</v>
      </c>
      <c r="H7" s="44">
        <f>K5</f>
        <v>0</v>
      </c>
      <c r="I7" s="43">
        <f>L6</f>
        <v>0</v>
      </c>
      <c r="J7" s="43">
        <f>K6</f>
        <v>0</v>
      </c>
      <c r="K7" s="45"/>
      <c r="L7" s="45"/>
      <c r="M7" s="41"/>
      <c r="N7" s="41"/>
      <c r="O7" s="42">
        <f t="shared" si="0"/>
        <v>0</v>
      </c>
      <c r="P7" s="37">
        <f t="shared" si="1"/>
        <v>0</v>
      </c>
    </row>
    <row r="8" spans="1:16" outlineLevel="1">
      <c r="A8" s="38" t="str">
        <f>'Planning à 6'!I19</f>
        <v>Equipe 6</v>
      </c>
      <c r="B8" s="39"/>
      <c r="C8" s="44">
        <f>N3</f>
        <v>0</v>
      </c>
      <c r="D8" s="44">
        <f>M3</f>
        <v>0</v>
      </c>
      <c r="E8" s="43">
        <f>N4</f>
        <v>0</v>
      </c>
      <c r="F8" s="43">
        <f>M4</f>
        <v>0</v>
      </c>
      <c r="G8" s="44">
        <f>N5</f>
        <v>0</v>
      </c>
      <c r="H8" s="44">
        <f>M5</f>
        <v>0</v>
      </c>
      <c r="I8" s="43">
        <f>N6</f>
        <v>0</v>
      </c>
      <c r="J8" s="43">
        <f>M6</f>
        <v>0</v>
      </c>
      <c r="K8" s="43">
        <f>N7</f>
        <v>0</v>
      </c>
      <c r="L8" s="43">
        <f>M7</f>
        <v>0</v>
      </c>
      <c r="M8" s="45"/>
      <c r="N8" s="45"/>
      <c r="O8" s="42">
        <f t="shared" si="0"/>
        <v>0</v>
      </c>
      <c r="P8" s="37">
        <f t="shared" si="1"/>
        <v>0</v>
      </c>
    </row>
    <row r="9" spans="1:16" outlineLevel="1">
      <c r="A9" s="46"/>
      <c r="B9" s="34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63"/>
      <c r="P9" s="47"/>
    </row>
    <row r="10" spans="1:16" outlineLevel="1">
      <c r="A10" s="34"/>
      <c r="B10" s="50" t="s">
        <v>169</v>
      </c>
      <c r="C10" s="51" t="s">
        <v>170</v>
      </c>
      <c r="D10" s="51" t="s">
        <v>171</v>
      </c>
      <c r="E10" s="52" t="s">
        <v>172</v>
      </c>
      <c r="F10" s="53" t="s">
        <v>173</v>
      </c>
      <c r="G10" s="47"/>
      <c r="H10" s="48"/>
      <c r="I10" s="176" t="s">
        <v>174</v>
      </c>
      <c r="J10" s="176"/>
      <c r="K10" s="47"/>
      <c r="L10" s="47"/>
      <c r="M10" s="47"/>
      <c r="N10" s="47"/>
      <c r="O10" s="63"/>
      <c r="P10" s="47"/>
    </row>
    <row r="11" spans="1:16" outlineLevel="1">
      <c r="A11" s="38" t="str">
        <f t="shared" ref="A11:A16" si="2">A3</f>
        <v>Equipe 1</v>
      </c>
      <c r="B11" s="50">
        <f t="shared" ref="B11:B16" si="3">IF(B3="A",0, IF(B3="F", (O3*2+P3*1),(O3*3+P3*2)))</f>
        <v>0</v>
      </c>
      <c r="C11" s="54">
        <f>C3+E3+G3+I3+K3+M3</f>
        <v>0</v>
      </c>
      <c r="D11" s="54">
        <f>D3+F3+H3+J3+L3+N3</f>
        <v>0</v>
      </c>
      <c r="E11" s="44">
        <f t="shared" ref="E11:E16" si="4">C11-D11</f>
        <v>0</v>
      </c>
      <c r="F11" s="53">
        <f t="shared" ref="F11:F16" si="5">RANK(G11,G$11:G$16)</f>
        <v>1</v>
      </c>
      <c r="G11" s="70">
        <f t="shared" ref="G11:G16" si="6">B11+E11/1000</f>
        <v>0</v>
      </c>
      <c r="H11" s="55">
        <v>1</v>
      </c>
      <c r="I11" s="175" t="str">
        <f>IF(F$11=H11,A$11,IF(F$12=H11,A$12,IF(F$13=H11,A$13,IF(F$14=H11,A$14,IF(F$15=H11,A$15,IF(F$16=H11,A$16,#REF!))))))</f>
        <v>Equipe 1</v>
      </c>
      <c r="J11" s="175"/>
      <c r="K11" s="47"/>
      <c r="L11" s="47"/>
      <c r="M11" s="47"/>
      <c r="N11" s="47"/>
      <c r="O11" s="63"/>
      <c r="P11" s="47"/>
    </row>
    <row r="12" spans="1:16" outlineLevel="1">
      <c r="A12" s="38" t="str">
        <f t="shared" si="2"/>
        <v>Equipe 2</v>
      </c>
      <c r="B12" s="50">
        <f t="shared" si="3"/>
        <v>0</v>
      </c>
      <c r="C12" s="54">
        <f t="shared" ref="C12:D16" si="7">C4+E4+G4+I4+K4+M4</f>
        <v>0</v>
      </c>
      <c r="D12" s="54">
        <f t="shared" si="7"/>
        <v>0</v>
      </c>
      <c r="E12" s="44">
        <f t="shared" si="4"/>
        <v>0</v>
      </c>
      <c r="F12" s="53">
        <f t="shared" si="5"/>
        <v>1</v>
      </c>
      <c r="G12" s="70">
        <f t="shared" si="6"/>
        <v>0</v>
      </c>
      <c r="H12" s="55">
        <v>2</v>
      </c>
      <c r="I12" s="175" t="str">
        <f>IF(F$11=H12,A$11,IF(F$12=H12,A$12,IF(F$13=H12,A$13,IF(F$14=H12,A$14,IF(F$15=H12,A$15,A$16)))))</f>
        <v>Equipe 6</v>
      </c>
      <c r="J12" s="175"/>
      <c r="K12" s="47"/>
      <c r="L12" s="47"/>
      <c r="M12" s="47"/>
      <c r="N12" s="47"/>
      <c r="O12" s="63"/>
      <c r="P12" s="47"/>
    </row>
    <row r="13" spans="1:16" outlineLevel="1">
      <c r="A13" s="38" t="str">
        <f t="shared" si="2"/>
        <v>Equipe 3</v>
      </c>
      <c r="B13" s="50">
        <f t="shared" si="3"/>
        <v>0</v>
      </c>
      <c r="C13" s="54">
        <f t="shared" si="7"/>
        <v>0</v>
      </c>
      <c r="D13" s="54">
        <f t="shared" si="7"/>
        <v>0</v>
      </c>
      <c r="E13" s="44">
        <f t="shared" si="4"/>
        <v>0</v>
      </c>
      <c r="F13" s="53">
        <f t="shared" si="5"/>
        <v>1</v>
      </c>
      <c r="G13" s="70">
        <f t="shared" si="6"/>
        <v>0</v>
      </c>
      <c r="H13" s="55">
        <v>3</v>
      </c>
      <c r="I13" s="175" t="str">
        <f>IF(F$11=H13,A$11,IF(F$12=H13,A$12,IF(F$13=H13,A$13,IF(F$14=H13,A$14,IF(F$15=H13,A$15,A$16)))))</f>
        <v>Equipe 6</v>
      </c>
      <c r="J13" s="175"/>
      <c r="K13" s="47"/>
      <c r="L13" s="47"/>
      <c r="M13" s="47"/>
      <c r="N13" s="47"/>
      <c r="O13" s="63"/>
      <c r="P13" s="47"/>
    </row>
    <row r="14" spans="1:16" outlineLevel="1">
      <c r="A14" s="38" t="str">
        <f t="shared" si="2"/>
        <v>Equipe 4</v>
      </c>
      <c r="B14" s="50">
        <f t="shared" si="3"/>
        <v>0</v>
      </c>
      <c r="C14" s="54">
        <f t="shared" si="7"/>
        <v>0</v>
      </c>
      <c r="D14" s="54">
        <f t="shared" si="7"/>
        <v>0</v>
      </c>
      <c r="E14" s="44">
        <f t="shared" si="4"/>
        <v>0</v>
      </c>
      <c r="F14" s="53">
        <f t="shared" si="5"/>
        <v>1</v>
      </c>
      <c r="G14" s="70">
        <f t="shared" si="6"/>
        <v>0</v>
      </c>
      <c r="H14" s="55">
        <v>4</v>
      </c>
      <c r="I14" s="175" t="str">
        <f>IF(F$11=H14,A$11,IF(F$12=H14,A$12,IF(F$13=H14,A$13,IF(F$14=H14,A$14,IF(F$15=H14,A$15,A$16)))))</f>
        <v>Equipe 6</v>
      </c>
      <c r="J14" s="175"/>
      <c r="K14" s="47"/>
      <c r="L14" s="47"/>
      <c r="M14" s="47"/>
      <c r="N14" s="47"/>
      <c r="O14" s="63"/>
      <c r="P14" s="47"/>
    </row>
    <row r="15" spans="1:16" outlineLevel="1">
      <c r="A15" s="38" t="str">
        <f t="shared" si="2"/>
        <v>Equipe 5</v>
      </c>
      <c r="B15" s="50">
        <f t="shared" si="3"/>
        <v>0</v>
      </c>
      <c r="C15" s="54">
        <f t="shared" si="7"/>
        <v>0</v>
      </c>
      <c r="D15" s="54">
        <f t="shared" si="7"/>
        <v>0</v>
      </c>
      <c r="E15" s="44">
        <f t="shared" si="4"/>
        <v>0</v>
      </c>
      <c r="F15" s="53">
        <f t="shared" si="5"/>
        <v>1</v>
      </c>
      <c r="G15" s="70">
        <f t="shared" si="6"/>
        <v>0</v>
      </c>
      <c r="H15" s="55">
        <v>5</v>
      </c>
      <c r="I15" s="175" t="str">
        <f>IF(F$11=H15,A$11,IF(F$12=H15,A$12,IF(F$13=H15,A$13,IF(F$14=H15,A$14,IF(F$15=H15,A$15,A$16)))))</f>
        <v>Equipe 6</v>
      </c>
      <c r="J15" s="175"/>
      <c r="K15" s="47"/>
      <c r="L15" s="47"/>
      <c r="M15" s="47"/>
      <c r="N15" s="47"/>
      <c r="O15" s="63"/>
      <c r="P15" s="47"/>
    </row>
    <row r="16" spans="1:16" outlineLevel="1">
      <c r="A16" s="38" t="str">
        <f t="shared" si="2"/>
        <v>Equipe 6</v>
      </c>
      <c r="B16" s="50">
        <f t="shared" si="3"/>
        <v>0</v>
      </c>
      <c r="C16" s="54">
        <f t="shared" si="7"/>
        <v>0</v>
      </c>
      <c r="D16" s="54">
        <f t="shared" si="7"/>
        <v>0</v>
      </c>
      <c r="E16" s="44">
        <f t="shared" si="4"/>
        <v>0</v>
      </c>
      <c r="F16" s="53">
        <f t="shared" si="5"/>
        <v>1</v>
      </c>
      <c r="G16" s="70">
        <f t="shared" si="6"/>
        <v>0</v>
      </c>
      <c r="H16" s="55">
        <v>6</v>
      </c>
      <c r="I16" s="175" t="str">
        <f>IF(F$11=H16,A$11,IF(F$12=H16,A$12,IF(F$13=H16,A$13,IF(F$14=H16,A$14,IF(F$15=H16,A$15,A$16)))))</f>
        <v>Equipe 6</v>
      </c>
      <c r="J16" s="175"/>
      <c r="K16" s="47"/>
      <c r="L16" s="47"/>
      <c r="M16" s="47"/>
      <c r="N16" s="47"/>
      <c r="O16" s="63"/>
      <c r="P16" s="47"/>
    </row>
    <row r="17" spans="1:16" s="48" customFormat="1" outlineLevel="1">
      <c r="A17" s="64"/>
      <c r="B17" s="64"/>
      <c r="C17" s="65">
        <f>SUM(C11:C16)</f>
        <v>0</v>
      </c>
      <c r="D17" s="65">
        <f>SUM(D11:D16)</f>
        <v>0</v>
      </c>
      <c r="E17" s="66"/>
      <c r="F17" s="67"/>
      <c r="G17" s="47"/>
      <c r="H17" s="66"/>
      <c r="I17" s="68"/>
      <c r="J17" s="68"/>
      <c r="K17" s="47"/>
      <c r="L17" s="47"/>
      <c r="M17" s="47"/>
      <c r="N17" s="47"/>
      <c r="O17" s="63"/>
      <c r="P17" s="47"/>
    </row>
    <row r="18" spans="1:16">
      <c r="A18" s="174" t="s">
        <v>436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outlineLevel="1">
      <c r="A19" s="47"/>
      <c r="B19" s="71" t="s">
        <v>166</v>
      </c>
      <c r="C19" s="176" t="str">
        <f>A20</f>
        <v>Equipe 1</v>
      </c>
      <c r="D19" s="176"/>
      <c r="E19" s="176" t="str">
        <f>A21</f>
        <v>Equipe 2</v>
      </c>
      <c r="F19" s="176"/>
      <c r="G19" s="176" t="str">
        <f>A22</f>
        <v>Equipe 3</v>
      </c>
      <c r="H19" s="176"/>
      <c r="I19" s="176" t="str">
        <f>A23</f>
        <v>Equipe 4</v>
      </c>
      <c r="J19" s="176"/>
      <c r="K19" s="176" t="str">
        <f>A24</f>
        <v>Equipe 5</v>
      </c>
      <c r="L19" s="176"/>
      <c r="M19" s="176" t="str">
        <f>A25</f>
        <v>Equipe 6</v>
      </c>
      <c r="N19" s="176"/>
      <c r="O19" s="36" t="s">
        <v>167</v>
      </c>
      <c r="P19" s="37" t="s">
        <v>168</v>
      </c>
    </row>
    <row r="20" spans="1:16" outlineLevel="1">
      <c r="A20" s="38" t="str">
        <f t="shared" ref="A20:A25" si="8">A3</f>
        <v>Equipe 1</v>
      </c>
      <c r="B20" s="39"/>
      <c r="C20" s="40"/>
      <c r="D20" s="40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42">
        <f t="shared" ref="O20:O25" si="9">IF(C20&gt;D20,1,0)+IF(E20&gt;F20,1,0)+IF(G20&gt;H20,1,0)+IF(I20&gt;J20,1,0)+IF(K20&gt;L20,1,0)+IF(M20&gt;N20,1,0)</f>
        <v>0</v>
      </c>
      <c r="P20" s="37">
        <f t="shared" ref="P20:P25" si="10">IF(C20&lt;D20,1,0)+IF(E20&lt;F20,1,0)+IF(G20&lt;H20,1,0)+IF(I20&lt;J20,1,0)+IF(K20&lt;L20,1,0)+IF(M20&lt;N20,1,0)</f>
        <v>0</v>
      </c>
    </row>
    <row r="21" spans="1:16" outlineLevel="1">
      <c r="A21" s="38" t="str">
        <f t="shared" si="8"/>
        <v>Equipe 2</v>
      </c>
      <c r="B21" s="39"/>
      <c r="C21" s="43">
        <f>F20</f>
        <v>0</v>
      </c>
      <c r="D21" s="43">
        <f>E20</f>
        <v>0</v>
      </c>
      <c r="E21" s="73"/>
      <c r="F21" s="73"/>
      <c r="G21" s="72"/>
      <c r="H21" s="72"/>
      <c r="I21" s="72"/>
      <c r="J21" s="72"/>
      <c r="K21" s="72"/>
      <c r="L21" s="72"/>
      <c r="M21" s="72"/>
      <c r="N21" s="72"/>
      <c r="O21" s="42">
        <f t="shared" si="9"/>
        <v>0</v>
      </c>
      <c r="P21" s="37">
        <f t="shared" si="10"/>
        <v>0</v>
      </c>
    </row>
    <row r="22" spans="1:16" outlineLevel="1">
      <c r="A22" s="38" t="str">
        <f t="shared" si="8"/>
        <v>Equipe 3</v>
      </c>
      <c r="B22" s="39"/>
      <c r="C22" s="43">
        <f>H20</f>
        <v>0</v>
      </c>
      <c r="D22" s="43">
        <f>G20</f>
        <v>0</v>
      </c>
      <c r="E22" s="43">
        <f>H21</f>
        <v>0</v>
      </c>
      <c r="F22" s="43">
        <f>G21</f>
        <v>0</v>
      </c>
      <c r="G22" s="40"/>
      <c r="H22" s="40"/>
      <c r="I22" s="72"/>
      <c r="J22" s="72"/>
      <c r="K22" s="72"/>
      <c r="L22" s="72"/>
      <c r="M22" s="72"/>
      <c r="N22" s="72"/>
      <c r="O22" s="42">
        <f t="shared" si="9"/>
        <v>0</v>
      </c>
      <c r="P22" s="37">
        <f t="shared" si="10"/>
        <v>0</v>
      </c>
    </row>
    <row r="23" spans="1:16" outlineLevel="1">
      <c r="A23" s="38" t="str">
        <f t="shared" si="8"/>
        <v>Equipe 4</v>
      </c>
      <c r="B23" s="39"/>
      <c r="C23" s="43">
        <f>J20</f>
        <v>0</v>
      </c>
      <c r="D23" s="43">
        <f>I20</f>
        <v>0</v>
      </c>
      <c r="E23" s="43">
        <f>J21</f>
        <v>0</v>
      </c>
      <c r="F23" s="43">
        <f>I21</f>
        <v>0</v>
      </c>
      <c r="G23" s="43">
        <f>J22</f>
        <v>0</v>
      </c>
      <c r="H23" s="43">
        <f>I22</f>
        <v>0</v>
      </c>
      <c r="I23" s="74"/>
      <c r="J23" s="74"/>
      <c r="K23" s="72"/>
      <c r="L23" s="72"/>
      <c r="M23" s="72"/>
      <c r="N23" s="72"/>
      <c r="O23" s="42">
        <f t="shared" si="9"/>
        <v>0</v>
      </c>
      <c r="P23" s="37">
        <f t="shared" si="10"/>
        <v>0</v>
      </c>
    </row>
    <row r="24" spans="1:16" outlineLevel="1">
      <c r="A24" s="38" t="str">
        <f t="shared" si="8"/>
        <v>Equipe 5</v>
      </c>
      <c r="B24" s="39"/>
      <c r="C24" s="44">
        <f>L20</f>
        <v>0</v>
      </c>
      <c r="D24" s="44">
        <f>K20</f>
        <v>0</v>
      </c>
      <c r="E24" s="43">
        <f>L21</f>
        <v>0</v>
      </c>
      <c r="F24" s="43">
        <f>K21</f>
        <v>0</v>
      </c>
      <c r="G24" s="44">
        <f>L22</f>
        <v>0</v>
      </c>
      <c r="H24" s="44">
        <f>K22</f>
        <v>0</v>
      </c>
      <c r="I24" s="43">
        <f>L23</f>
        <v>0</v>
      </c>
      <c r="J24" s="43">
        <f>K23</f>
        <v>0</v>
      </c>
      <c r="K24" s="45"/>
      <c r="L24" s="45"/>
      <c r="M24" s="41"/>
      <c r="N24" s="41"/>
      <c r="O24" s="42">
        <f t="shared" si="9"/>
        <v>0</v>
      </c>
      <c r="P24" s="37">
        <f t="shared" si="10"/>
        <v>0</v>
      </c>
    </row>
    <row r="25" spans="1:16" outlineLevel="1">
      <c r="A25" s="38" t="str">
        <f t="shared" si="8"/>
        <v>Equipe 6</v>
      </c>
      <c r="B25" s="39"/>
      <c r="C25" s="44">
        <f>N20</f>
        <v>0</v>
      </c>
      <c r="D25" s="44">
        <f>M20</f>
        <v>0</v>
      </c>
      <c r="E25" s="43">
        <f>N21</f>
        <v>0</v>
      </c>
      <c r="F25" s="43">
        <f>M21</f>
        <v>0</v>
      </c>
      <c r="G25" s="44">
        <f>N22</f>
        <v>0</v>
      </c>
      <c r="H25" s="44">
        <f>M22</f>
        <v>0</v>
      </c>
      <c r="I25" s="43">
        <f>N23</f>
        <v>0</v>
      </c>
      <c r="J25" s="43">
        <f>M23</f>
        <v>0</v>
      </c>
      <c r="K25" s="43">
        <f>N24</f>
        <v>0</v>
      </c>
      <c r="L25" s="43">
        <f>M24</f>
        <v>0</v>
      </c>
      <c r="M25" s="45"/>
      <c r="N25" s="45"/>
      <c r="O25" s="42">
        <f t="shared" si="9"/>
        <v>0</v>
      </c>
      <c r="P25" s="37">
        <f t="shared" si="10"/>
        <v>0</v>
      </c>
    </row>
    <row r="26" spans="1:16" outlineLevel="1">
      <c r="A26" s="7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3"/>
      <c r="P26" s="47"/>
    </row>
    <row r="27" spans="1:16" outlineLevel="1">
      <c r="A27" s="47"/>
      <c r="B27" s="38" t="s">
        <v>169</v>
      </c>
      <c r="C27" s="51" t="s">
        <v>170</v>
      </c>
      <c r="D27" s="51" t="s">
        <v>171</v>
      </c>
      <c r="E27" s="52" t="s">
        <v>172</v>
      </c>
      <c r="F27" s="53" t="s">
        <v>173</v>
      </c>
      <c r="G27" s="47"/>
      <c r="H27" s="48"/>
      <c r="I27" s="176" t="s">
        <v>174</v>
      </c>
      <c r="J27" s="176"/>
      <c r="K27" s="47"/>
      <c r="L27" s="47"/>
      <c r="M27" s="47"/>
      <c r="N27" s="47"/>
      <c r="O27" s="63"/>
      <c r="P27" s="47"/>
    </row>
    <row r="28" spans="1:16" outlineLevel="1">
      <c r="A28" s="38" t="str">
        <f t="shared" ref="A28:A33" si="11">A20</f>
        <v>Equipe 1</v>
      </c>
      <c r="B28" s="76">
        <f t="shared" ref="B28:B33" si="12">IF(B20="A",0, IF(B20="F", (O20*2+P20*1),(O20*3+P20*2)))+B11</f>
        <v>0</v>
      </c>
      <c r="C28" s="54">
        <f>C20+E20+G20+I20+K20+M20</f>
        <v>0</v>
      </c>
      <c r="D28" s="54">
        <f>D20+F20+H20+J20+L20+N20</f>
        <v>0</v>
      </c>
      <c r="E28" s="44">
        <f t="shared" ref="E28:E33" si="13">C28-D28+E11</f>
        <v>0</v>
      </c>
      <c r="F28" s="53">
        <f>RANK(G28,G28:G33)</f>
        <v>1</v>
      </c>
      <c r="G28" s="70">
        <f t="shared" ref="G28:G33" si="14">B28+E28/1000</f>
        <v>0</v>
      </c>
      <c r="H28" s="55">
        <v>1</v>
      </c>
      <c r="I28" s="175" t="str">
        <f>IF(F$28=H28,A$28,IF(F$29=H28,A$29,IF(F$30=H28,A$30,IF(F$31=H28,A$31,IF(F$32=H28,A$32,IF(F$33=H28,A$33,#REF!))))))</f>
        <v>Equipe 1</v>
      </c>
      <c r="J28" s="175"/>
      <c r="K28" s="47"/>
      <c r="L28" s="47"/>
      <c r="M28" s="47"/>
      <c r="N28" s="47"/>
      <c r="O28" s="63"/>
      <c r="P28" s="47"/>
    </row>
    <row r="29" spans="1:16" outlineLevel="1">
      <c r="A29" s="38" t="str">
        <f t="shared" si="11"/>
        <v>Equipe 2</v>
      </c>
      <c r="B29" s="76">
        <f t="shared" si="12"/>
        <v>0</v>
      </c>
      <c r="C29" s="54">
        <f t="shared" ref="C29:D33" si="15">C21+E21+G21+I21+K21+M21</f>
        <v>0</v>
      </c>
      <c r="D29" s="54">
        <f t="shared" si="15"/>
        <v>0</v>
      </c>
      <c r="E29" s="44">
        <f t="shared" si="13"/>
        <v>0</v>
      </c>
      <c r="F29" s="53">
        <f>RANK(G29,G28:G33)</f>
        <v>1</v>
      </c>
      <c r="G29" s="70">
        <f t="shared" si="14"/>
        <v>0</v>
      </c>
      <c r="H29" s="55">
        <v>2</v>
      </c>
      <c r="I29" s="175" t="str">
        <f>IF(F$28=H29,A$28,IF(F$29=H29,A$29,IF(F$30=H29,A$30,IF(F$31=H29,A$31,IF(F$32=H29,A$32,A$33)))))</f>
        <v>Equipe 6</v>
      </c>
      <c r="J29" s="175"/>
      <c r="K29" s="47"/>
      <c r="L29" s="47"/>
      <c r="M29" s="47"/>
      <c r="N29" s="47"/>
      <c r="O29" s="63"/>
      <c r="P29" s="47"/>
    </row>
    <row r="30" spans="1:16" outlineLevel="1">
      <c r="A30" s="38" t="str">
        <f t="shared" si="11"/>
        <v>Equipe 3</v>
      </c>
      <c r="B30" s="76">
        <f t="shared" si="12"/>
        <v>0</v>
      </c>
      <c r="C30" s="54">
        <f t="shared" si="15"/>
        <v>0</v>
      </c>
      <c r="D30" s="54">
        <f t="shared" si="15"/>
        <v>0</v>
      </c>
      <c r="E30" s="44">
        <f t="shared" si="13"/>
        <v>0</v>
      </c>
      <c r="F30" s="53">
        <f>RANK(G30,G28:G33)</f>
        <v>1</v>
      </c>
      <c r="G30" s="70">
        <f t="shared" si="14"/>
        <v>0</v>
      </c>
      <c r="H30" s="55">
        <v>3</v>
      </c>
      <c r="I30" s="175" t="str">
        <f>IF(F$28=H30,A$28,IF(F$29=H30,A$29,IF(F$30=H30,A$30,IF(F$31=H30,A$31,IF(F$32=H30,A$32,A$33)))))</f>
        <v>Equipe 6</v>
      </c>
      <c r="J30" s="175"/>
      <c r="K30" s="47"/>
      <c r="L30" s="47"/>
      <c r="M30" s="47"/>
      <c r="N30" s="47"/>
      <c r="O30" s="63"/>
      <c r="P30" s="47"/>
    </row>
    <row r="31" spans="1:16" outlineLevel="1">
      <c r="A31" s="38" t="str">
        <f t="shared" si="11"/>
        <v>Equipe 4</v>
      </c>
      <c r="B31" s="76">
        <f t="shared" si="12"/>
        <v>0</v>
      </c>
      <c r="C31" s="54">
        <f t="shared" si="15"/>
        <v>0</v>
      </c>
      <c r="D31" s="54">
        <f t="shared" si="15"/>
        <v>0</v>
      </c>
      <c r="E31" s="44">
        <f t="shared" si="13"/>
        <v>0</v>
      </c>
      <c r="F31" s="53">
        <f>RANK(G31,G28:G33)</f>
        <v>1</v>
      </c>
      <c r="G31" s="70">
        <f t="shared" si="14"/>
        <v>0</v>
      </c>
      <c r="H31" s="55">
        <v>4</v>
      </c>
      <c r="I31" s="175" t="str">
        <f>IF(F$28=H31,A$28,IF(F$29=H31,A$29,IF(F$30=H31,A$30,IF(F$31=H31,A$31,IF(F$32=H31,A$32,A$33)))))</f>
        <v>Equipe 6</v>
      </c>
      <c r="J31" s="175"/>
      <c r="K31" s="47"/>
      <c r="L31" s="47"/>
      <c r="M31" s="47"/>
      <c r="N31" s="47"/>
      <c r="O31" s="63"/>
      <c r="P31" s="47"/>
    </row>
    <row r="32" spans="1:16" outlineLevel="1">
      <c r="A32" s="38" t="str">
        <f t="shared" si="11"/>
        <v>Equipe 5</v>
      </c>
      <c r="B32" s="76">
        <f t="shared" si="12"/>
        <v>0</v>
      </c>
      <c r="C32" s="54">
        <f t="shared" si="15"/>
        <v>0</v>
      </c>
      <c r="D32" s="54">
        <f t="shared" si="15"/>
        <v>0</v>
      </c>
      <c r="E32" s="44">
        <f t="shared" si="13"/>
        <v>0</v>
      </c>
      <c r="F32" s="53">
        <f>RANK(G32,G28:G33)</f>
        <v>1</v>
      </c>
      <c r="G32" s="70">
        <f t="shared" si="14"/>
        <v>0</v>
      </c>
      <c r="H32" s="55">
        <v>5</v>
      </c>
      <c r="I32" s="175" t="str">
        <f>IF(F$28=H32,A$28,IF(F$29=H32,A$29,IF(F$30=H32,A$30,IF(F$31=H32,A$31,IF(F$32=H32,A$32,A$33)))))</f>
        <v>Equipe 6</v>
      </c>
      <c r="J32" s="175"/>
      <c r="K32" s="47"/>
      <c r="L32" s="47"/>
      <c r="M32" s="47"/>
      <c r="N32" s="47"/>
      <c r="O32" s="63"/>
      <c r="P32" s="47"/>
    </row>
    <row r="33" spans="1:16" outlineLevel="1">
      <c r="A33" s="38" t="str">
        <f t="shared" si="11"/>
        <v>Equipe 6</v>
      </c>
      <c r="B33" s="76">
        <f t="shared" si="12"/>
        <v>0</v>
      </c>
      <c r="C33" s="54">
        <f t="shared" si="15"/>
        <v>0</v>
      </c>
      <c r="D33" s="54">
        <f t="shared" si="15"/>
        <v>0</v>
      </c>
      <c r="E33" s="44">
        <f t="shared" si="13"/>
        <v>0</v>
      </c>
      <c r="F33" s="53">
        <f>RANK(G33,G28:G33)</f>
        <v>1</v>
      </c>
      <c r="G33" s="70">
        <f t="shared" si="14"/>
        <v>0</v>
      </c>
      <c r="H33" s="55">
        <v>6</v>
      </c>
      <c r="I33" s="175" t="str">
        <f>IF(F$28=H33,A$28,IF(F$29=H33,A$29,IF(F$30=H33,A$30,IF(F$31=H33,A$31,IF(F$32=H33,A$32,A$33)))))</f>
        <v>Equipe 6</v>
      </c>
      <c r="J33" s="175"/>
      <c r="K33" s="47"/>
      <c r="L33" s="47"/>
      <c r="M33" s="47"/>
      <c r="N33" s="47"/>
      <c r="O33" s="63"/>
      <c r="P33" s="47"/>
    </row>
    <row r="34" spans="1:16" s="48" customFormat="1" outlineLevel="1">
      <c r="A34" s="67"/>
      <c r="B34" s="67"/>
      <c r="C34" s="65">
        <f>SUM(C28:C33)</f>
        <v>0</v>
      </c>
      <c r="D34" s="65">
        <f>SUM(D28:D33)</f>
        <v>0</v>
      </c>
      <c r="E34" s="66"/>
      <c r="F34" s="67"/>
      <c r="G34" s="47"/>
      <c r="H34" s="63"/>
      <c r="I34" s="63"/>
      <c r="J34" s="63"/>
      <c r="K34" s="63"/>
      <c r="L34" s="63"/>
      <c r="M34" s="63"/>
      <c r="N34" s="63"/>
      <c r="O34" s="63"/>
      <c r="P34" s="47"/>
    </row>
  </sheetData>
  <mergeCells count="28">
    <mergeCell ref="I33:J33"/>
    <mergeCell ref="M19:N19"/>
    <mergeCell ref="I27:J27"/>
    <mergeCell ref="I28:J28"/>
    <mergeCell ref="I29:J29"/>
    <mergeCell ref="I30:J30"/>
    <mergeCell ref="I31:J31"/>
    <mergeCell ref="K19:L19"/>
    <mergeCell ref="C19:D19"/>
    <mergeCell ref="E19:F19"/>
    <mergeCell ref="G19:H19"/>
    <mergeCell ref="I19:J19"/>
    <mergeCell ref="I32:J32"/>
    <mergeCell ref="A1:P1"/>
    <mergeCell ref="A18:P18"/>
    <mergeCell ref="K2:L2"/>
    <mergeCell ref="M2:N2"/>
    <mergeCell ref="I15:J15"/>
    <mergeCell ref="C2:D2"/>
    <mergeCell ref="E2:F2"/>
    <mergeCell ref="G2:H2"/>
    <mergeCell ref="I2:J2"/>
    <mergeCell ref="I10:J10"/>
    <mergeCell ref="I11:J11"/>
    <mergeCell ref="I12:J12"/>
    <mergeCell ref="I13:J13"/>
    <mergeCell ref="I14:J14"/>
    <mergeCell ref="I16:J16"/>
  </mergeCells>
  <dataValidations count="1">
    <dataValidation type="list" allowBlank="1" showInputMessage="1" showErrorMessage="1" sqref="B3:B8 IU3:IU8 SQ3:SQ8 ACM3:ACM8 AMI3:AMI8 AWE3:AWE8 BGA3:BGA8 BPW3:BPW8 BZS3:BZS8 CJO3:CJO8 CTK3:CTK8 DDG3:DDG8 DNC3:DNC8 DWY3:DWY8 EGU3:EGU8 EQQ3:EQQ8 FAM3:FAM8 FKI3:FKI8 FUE3:FUE8 GEA3:GEA8 GNW3:GNW8 GXS3:GXS8 HHO3:HHO8 HRK3:HRK8 IBG3:IBG8 ILC3:ILC8 IUY3:IUY8 JEU3:JEU8 JOQ3:JOQ8 JYM3:JYM8 KII3:KII8 KSE3:KSE8 LCA3:LCA8 LLW3:LLW8 LVS3:LVS8 MFO3:MFO8 MPK3:MPK8 MZG3:MZG8 NJC3:NJC8 NSY3:NSY8 OCU3:OCU8 OMQ3:OMQ8 OWM3:OWM8 PGI3:PGI8 PQE3:PQE8 QAA3:QAA8 QJW3:QJW8 QTS3:QTS8 RDO3:RDO8 RNK3:RNK8 RXG3:RXG8 SHC3:SHC8 SQY3:SQY8 TAU3:TAU8 TKQ3:TKQ8 TUM3:TUM8 UEI3:UEI8 UOE3:UOE8 UYA3:UYA8 VHW3:VHW8 VRS3:VRS8 WBO3:WBO8 WLK3:WLK8 WVG3:WVG8 B20:B25 IU20:IU25 SQ20:SQ25 ACM20:ACM25 AMI20:AMI25 AWE20:AWE25 BGA20:BGA25 BPW20:BPW25 BZS20:BZS25 CJO20:CJO25 CTK20:CTK25 DDG20:DDG25 DNC20:DNC25 DWY20:DWY25 EGU20:EGU25 EQQ20:EQQ25 FAM20:FAM25 FKI20:FKI25 FUE20:FUE25 GEA20:GEA25 GNW20:GNW25 GXS20:GXS25 HHO20:HHO25 HRK20:HRK25 IBG20:IBG25 ILC20:ILC25 IUY20:IUY25 JEU20:JEU25 JOQ20:JOQ25 JYM20:JYM25 KII20:KII25 KSE20:KSE25 LCA20:LCA25 LLW20:LLW25 LVS20:LVS25 MFO20:MFO25 MPK20:MPK25 MZG20:MZG25 NJC20:NJC25 NSY20:NSY25 OCU20:OCU25 OMQ20:OMQ25 OWM20:OWM25 PGI20:PGI25 PQE20:PQE25 QAA20:QAA25 QJW20:QJW25 QTS20:QTS25 RDO20:RDO25 RNK20:RNK25 RXG20:RXG25 SHC20:SHC25 SQY20:SQY25 TAU20:TAU25 TKQ20:TKQ25 TUM20:TUM25 UEI20:UEI25 UOE20:UOE25 UYA20:UYA25 VHW20:VHW25 VRS20:VRS25 WBO20:WBO25 WLK20:WLK25 WVG20:WVG25">
      <formula1>"A,F"</formula1>
    </dataValidation>
  </dataValidations>
  <printOptions horizontalCentered="1" verticalCentered="1"/>
  <pageMargins left="0" right="0" top="0" bottom="0" header="0" footer="0"/>
  <pageSetup paperSize="9" orientation="landscape" r:id="rId1"/>
  <headerFooter scaleWithDoc="0">
    <oddHeader>&amp;C&amp;G</oddHeader>
    <oddFooter>&amp;L&amp;"Open Sans,Normal"&amp;8© 2017 - Ligue Flying Disc&amp;R&amp;"Open Sans,Normal"&amp;8&amp;D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8"/>
  <sheetViews>
    <sheetView view="pageBreakPreview" topLeftCell="A29" zoomScaleNormal="100" zoomScaleSheetLayoutView="100" workbookViewId="0">
      <selection activeCell="J69" sqref="J69"/>
    </sheetView>
  </sheetViews>
  <sheetFormatPr baseColWidth="10" defaultColWidth="11.5546875" defaultRowHeight="15"/>
  <cols>
    <col min="1" max="1" width="7.6640625" style="281" customWidth="1"/>
    <col min="2" max="3" width="18.6640625" style="281" customWidth="1"/>
    <col min="4" max="4" width="5.6640625" style="281" customWidth="1"/>
    <col min="5" max="5" width="7.6640625" style="281" customWidth="1"/>
    <col min="6" max="7" width="18.6640625" style="281" customWidth="1"/>
    <col min="8" max="8" width="5.6640625" style="281" customWidth="1"/>
    <col min="9" max="9" width="20.5546875" style="281" bestFit="1" customWidth="1"/>
    <col min="10" max="13" width="8.5546875" style="281" bestFit="1" customWidth="1"/>
    <col min="14" max="14" width="11.6640625" style="281" bestFit="1" customWidth="1"/>
    <col min="15" max="16384" width="11.5546875" style="281"/>
  </cols>
  <sheetData>
    <row r="1" spans="1:14" ht="30" customHeight="1">
      <c r="A1" s="194" t="s">
        <v>444</v>
      </c>
      <c r="B1" s="194"/>
      <c r="C1" s="194"/>
      <c r="D1" s="194"/>
      <c r="E1" s="194"/>
      <c r="F1" s="194"/>
      <c r="G1" s="194"/>
      <c r="H1" s="280"/>
      <c r="I1" s="280"/>
    </row>
    <row r="2" spans="1:14" ht="30" customHeight="1">
      <c r="A2" s="197" t="s">
        <v>426</v>
      </c>
      <c r="B2" s="197"/>
      <c r="C2" s="197"/>
      <c r="D2" s="197"/>
      <c r="E2" s="197"/>
      <c r="F2" s="197"/>
      <c r="G2" s="197"/>
      <c r="H2" s="280"/>
      <c r="I2" s="280"/>
    </row>
    <row r="3" spans="1:14" ht="30" customHeight="1">
      <c r="A3" s="197" t="s">
        <v>427</v>
      </c>
      <c r="B3" s="197"/>
      <c r="C3" s="197"/>
      <c r="D3" s="197"/>
      <c r="E3" s="197"/>
      <c r="F3" s="197"/>
      <c r="G3" s="197"/>
      <c r="H3" s="280"/>
      <c r="I3" s="280"/>
    </row>
    <row r="4" spans="1:14" ht="30" customHeight="1">
      <c r="A4" s="197" t="s">
        <v>428</v>
      </c>
      <c r="B4" s="197"/>
      <c r="C4" s="197"/>
      <c r="D4" s="197"/>
      <c r="E4" s="197"/>
      <c r="F4" s="197"/>
      <c r="G4" s="197"/>
      <c r="H4" s="280"/>
      <c r="I4" s="280"/>
    </row>
    <row r="5" spans="1:14" ht="15" customHeight="1">
      <c r="D5" s="282"/>
      <c r="H5" s="280"/>
      <c r="I5" s="280"/>
    </row>
    <row r="6" spans="1:14" ht="15" customHeight="1">
      <c r="A6" s="283" t="e">
        <f>#REF!&amp;" ("&amp;N15&amp;")"</f>
        <v>#REF!</v>
      </c>
      <c r="B6" s="283"/>
      <c r="C6" s="283"/>
      <c r="D6" s="282"/>
      <c r="E6" s="283" t="e">
        <f>#REF!&amp;" ("&amp;N19&amp;")"</f>
        <v>#REF!</v>
      </c>
      <c r="F6" s="283"/>
      <c r="G6" s="283"/>
      <c r="H6" s="280"/>
      <c r="I6" s="280"/>
    </row>
    <row r="7" spans="1:14" ht="15" customHeight="1">
      <c r="A7" s="283" t="e">
        <f>#REF!&amp;" ("&amp;N16&amp;")"</f>
        <v>#REF!</v>
      </c>
      <c r="B7" s="283"/>
      <c r="C7" s="283"/>
      <c r="D7" s="282"/>
      <c r="E7" s="283" t="e">
        <f>#REF!&amp;" ("&amp;N20&amp;")"</f>
        <v>#REF!</v>
      </c>
      <c r="F7" s="283"/>
      <c r="G7" s="283"/>
      <c r="H7" s="280"/>
      <c r="I7" s="280"/>
    </row>
    <row r="8" spans="1:14" ht="15" customHeight="1">
      <c r="A8" s="283" t="e">
        <f>#REF!&amp;" ("&amp;N17&amp;")"</f>
        <v>#REF!</v>
      </c>
      <c r="B8" s="283"/>
      <c r="C8" s="283"/>
      <c r="D8" s="282"/>
      <c r="E8" s="283" t="e">
        <f>#REF!&amp;" ("&amp;N21&amp;")"</f>
        <v>#REF!</v>
      </c>
      <c r="F8" s="283"/>
      <c r="G8" s="283"/>
      <c r="H8" s="280"/>
      <c r="I8" s="280"/>
    </row>
    <row r="9" spans="1:14" ht="15" customHeight="1">
      <c r="A9" s="283" t="e">
        <f>#REF!&amp;" ("&amp;N18&amp;")"</f>
        <v>#REF!</v>
      </c>
      <c r="B9" s="283"/>
      <c r="C9" s="283"/>
      <c r="D9" s="282"/>
      <c r="H9" s="280"/>
      <c r="I9" s="280"/>
    </row>
    <row r="10" spans="1:14" ht="15" customHeight="1">
      <c r="A10" s="284"/>
      <c r="B10" s="284"/>
      <c r="C10" s="284"/>
      <c r="D10" s="284"/>
      <c r="E10" s="284"/>
      <c r="F10" s="284"/>
      <c r="G10" s="284"/>
      <c r="H10" s="280"/>
      <c r="I10" s="280"/>
    </row>
    <row r="11" spans="1:14" ht="15" customHeight="1">
      <c r="A11" s="285" t="s">
        <v>22</v>
      </c>
      <c r="B11" s="286"/>
      <c r="C11" s="287"/>
      <c r="D11" s="288"/>
      <c r="E11" s="285" t="s">
        <v>23</v>
      </c>
      <c r="F11" s="286"/>
      <c r="G11" s="287"/>
      <c r="H11" s="280"/>
      <c r="I11" s="280"/>
    </row>
    <row r="12" spans="1:14" ht="15" customHeight="1">
      <c r="A12" s="288"/>
      <c r="B12" s="289"/>
      <c r="C12" s="289"/>
      <c r="D12" s="288"/>
      <c r="E12" s="288"/>
      <c r="F12" s="289"/>
      <c r="G12" s="289"/>
      <c r="H12" s="280"/>
      <c r="I12" s="280"/>
    </row>
    <row r="13" spans="1:14" ht="15" customHeight="1">
      <c r="A13" s="290" t="s">
        <v>133</v>
      </c>
      <c r="B13" s="285" t="s">
        <v>77</v>
      </c>
      <c r="C13" s="287"/>
      <c r="D13" s="280"/>
      <c r="E13" s="291" t="s">
        <v>283</v>
      </c>
      <c r="F13" s="292" t="str">
        <f>I16</f>
        <v>Equipe 2</v>
      </c>
      <c r="G13" s="293" t="s">
        <v>113</v>
      </c>
      <c r="H13" s="280"/>
      <c r="I13" s="280"/>
    </row>
    <row r="14" spans="1:14" ht="15" customHeight="1">
      <c r="A14" s="288"/>
      <c r="B14" s="289"/>
      <c r="C14" s="289"/>
      <c r="D14" s="280"/>
      <c r="E14" s="294"/>
      <c r="F14" s="292" t="str">
        <f>I18</f>
        <v>Equipe 4</v>
      </c>
      <c r="G14" s="295" t="str">
        <f>I22</f>
        <v>Directeur de tournoi</v>
      </c>
      <c r="H14" s="280"/>
      <c r="I14" s="288"/>
    </row>
    <row r="15" spans="1:14" ht="15" customHeight="1">
      <c r="A15" s="296" t="s">
        <v>284</v>
      </c>
      <c r="B15" s="292" t="str">
        <f>I17</f>
        <v>Equipe 3</v>
      </c>
      <c r="C15" s="297" t="s">
        <v>113</v>
      </c>
      <c r="D15" s="280"/>
      <c r="E15" s="280"/>
      <c r="H15" s="280"/>
      <c r="I15" s="298" t="s">
        <v>429</v>
      </c>
      <c r="J15" s="299">
        <f>COUNTIF($B$15:$B$40,#REF!)+COUNTIF($F$13:$F$47,#REF!)</f>
        <v>0</v>
      </c>
      <c r="K15" s="299">
        <f>COUNTIF($B$15:$B$40,#REF!)</f>
        <v>0</v>
      </c>
      <c r="L15" s="299">
        <f>COUNTIF($F$13:$F$47,#REF!)</f>
        <v>0</v>
      </c>
      <c r="M15" s="299">
        <f>COUNTIF($C$15:$C$40,#REF!)+COUNTIF($G$13:$G$47,#REF!)</f>
        <v>0</v>
      </c>
      <c r="N15" s="281" t="e">
        <f>VLOOKUP(I15,'club-ville'!A:B,2,FALSE)</f>
        <v>#N/A</v>
      </c>
    </row>
    <row r="16" spans="1:14" ht="15" customHeight="1">
      <c r="A16" s="294"/>
      <c r="B16" s="292" t="str">
        <f>I15</f>
        <v>Equipe 1</v>
      </c>
      <c r="C16" s="295" t="str">
        <f>I22</f>
        <v>Directeur de tournoi</v>
      </c>
      <c r="D16" s="280"/>
      <c r="E16" s="291" t="s">
        <v>240</v>
      </c>
      <c r="F16" s="292" t="str">
        <f>I20</f>
        <v>Equipe 6</v>
      </c>
      <c r="G16" s="293" t="s">
        <v>113</v>
      </c>
      <c r="H16" s="280"/>
      <c r="I16" s="298" t="s">
        <v>430</v>
      </c>
      <c r="J16" s="299">
        <f>COUNTIF($B$15:$B$40,#REF!)+COUNTIF($F$13:$F$47,#REF!)</f>
        <v>0</v>
      </c>
      <c r="K16" s="299">
        <f>COUNTIF($B$15:$B$40,#REF!)</f>
        <v>0</v>
      </c>
      <c r="L16" s="299">
        <f>COUNTIF($F$13:$F$47,#REF!)</f>
        <v>0</v>
      </c>
      <c r="M16" s="299">
        <f>COUNTIF($C$15:$C$40,#REF!)+COUNTIF($G$13:$G$47,#REF!)</f>
        <v>0</v>
      </c>
      <c r="N16" s="281" t="e">
        <f>VLOOKUP(I16,'club-ville'!A:B,2,FALSE)</f>
        <v>#N/A</v>
      </c>
    </row>
    <row r="17" spans="1:14" ht="15" customHeight="1">
      <c r="A17" s="280"/>
      <c r="B17" s="300"/>
      <c r="C17" s="301"/>
      <c r="D17" s="280"/>
      <c r="E17" s="294"/>
      <c r="F17" s="292" t="str">
        <f>I19</f>
        <v>Equipe 5</v>
      </c>
      <c r="G17" s="295" t="str">
        <f>I16</f>
        <v>Equipe 2</v>
      </c>
      <c r="H17" s="280"/>
      <c r="I17" s="298" t="s">
        <v>431</v>
      </c>
      <c r="J17" s="299">
        <f>COUNTIF($B$15:$B$40,#REF!)+COUNTIF($F$13:$F$47,#REF!)</f>
        <v>0</v>
      </c>
      <c r="K17" s="299">
        <f>COUNTIF($B$15:$B$40,#REF!)</f>
        <v>0</v>
      </c>
      <c r="L17" s="299">
        <f>COUNTIF($F$13:$F$47,#REF!)</f>
        <v>0</v>
      </c>
      <c r="M17" s="299">
        <f>COUNTIF($C$15:$C$40,#REF!)+COUNTIF($G$13:$G$47,#REF!)</f>
        <v>0</v>
      </c>
      <c r="N17" s="281" t="e">
        <f>VLOOKUP(I17,'club-ville'!A:B,2,FALSE)</f>
        <v>#N/A</v>
      </c>
    </row>
    <row r="18" spans="1:14" ht="15" customHeight="1">
      <c r="A18" s="296" t="s">
        <v>285</v>
      </c>
      <c r="B18" s="292" t="str">
        <f>I16</f>
        <v>Equipe 2</v>
      </c>
      <c r="C18" s="297" t="s">
        <v>113</v>
      </c>
      <c r="D18" s="280"/>
      <c r="E18" s="280"/>
      <c r="F18" s="300"/>
      <c r="G18" s="301"/>
      <c r="H18" s="280"/>
      <c r="I18" s="298" t="s">
        <v>432</v>
      </c>
      <c r="J18" s="299">
        <f>COUNTIF($B$15:$B$40,#REF!)+COUNTIF($F$13:$F$47,#REF!)</f>
        <v>0</v>
      </c>
      <c r="K18" s="299">
        <f>COUNTIF($B$15:$B$40,#REF!)</f>
        <v>0</v>
      </c>
      <c r="L18" s="299">
        <f>COUNTIF($F$13:$F$47,#REF!)</f>
        <v>0</v>
      </c>
      <c r="M18" s="299">
        <f>COUNTIF($C$15:$C$40,#REF!)+COUNTIF($G$13:$G$47,#REF!)</f>
        <v>0</v>
      </c>
      <c r="N18" s="281" t="e">
        <f>VLOOKUP(I18,'club-ville'!A:B,2,FALSE)</f>
        <v>#N/A</v>
      </c>
    </row>
    <row r="19" spans="1:14" ht="15" customHeight="1">
      <c r="A19" s="294"/>
      <c r="B19" s="292" t="str">
        <f>I19</f>
        <v>Equipe 5</v>
      </c>
      <c r="C19" s="295" t="str">
        <f>I15</f>
        <v>Equipe 1</v>
      </c>
      <c r="D19" s="280"/>
      <c r="E19" s="291" t="s">
        <v>241</v>
      </c>
      <c r="F19" s="292" t="str">
        <f>I15</f>
        <v>Equipe 1</v>
      </c>
      <c r="G19" s="293" t="s">
        <v>113</v>
      </c>
      <c r="H19" s="280"/>
      <c r="I19" s="298" t="s">
        <v>433</v>
      </c>
      <c r="J19" s="299">
        <f>COUNTIF($B$15:$B$40,#REF!)+COUNTIF($F$13:$F$47,#REF!)</f>
        <v>0</v>
      </c>
      <c r="K19" s="299">
        <f>COUNTIF($B$15:$B$40,#REF!)</f>
        <v>0</v>
      </c>
      <c r="L19" s="299">
        <f>COUNTIF($F$13:$F$47,#REF!)</f>
        <v>0</v>
      </c>
      <c r="M19" s="299">
        <f>COUNTIF($C$15:$C$40,#REF!)+COUNTIF($G$13:$G$47,#REF!)</f>
        <v>0</v>
      </c>
      <c r="N19" s="281" t="e">
        <f>VLOOKUP(I19,'club-ville'!A:B,2,FALSE)</f>
        <v>#N/A</v>
      </c>
    </row>
    <row r="20" spans="1:14" ht="15" customHeight="1">
      <c r="A20" s="280"/>
      <c r="B20" s="300"/>
      <c r="C20" s="301"/>
      <c r="D20" s="302"/>
      <c r="E20" s="294"/>
      <c r="F20" s="292" t="str">
        <f>I18</f>
        <v>Equipe 4</v>
      </c>
      <c r="G20" s="295" t="str">
        <f>I17</f>
        <v>Equipe 3</v>
      </c>
      <c r="H20" s="280"/>
      <c r="I20" s="298" t="s">
        <v>434</v>
      </c>
      <c r="J20" s="299">
        <f>COUNTIF($B$15:$B$40,#REF!)+COUNTIF($F$13:$F$47,#REF!)</f>
        <v>0</v>
      </c>
      <c r="K20" s="299">
        <f>COUNTIF($B$15:$B$40,#REF!)</f>
        <v>0</v>
      </c>
      <c r="L20" s="299">
        <f>COUNTIF($F$13:$F$47,#REF!)</f>
        <v>0</v>
      </c>
      <c r="M20" s="299">
        <f>COUNTIF($C$15:$C$40,#REF!)+COUNTIF($G$13:$G$47,#REF!)</f>
        <v>0</v>
      </c>
      <c r="N20" s="281" t="e">
        <f>VLOOKUP(I20,'club-ville'!A:B,2,FALSE)</f>
        <v>#N/A</v>
      </c>
    </row>
    <row r="21" spans="1:14" ht="15" customHeight="1">
      <c r="A21" s="296" t="s">
        <v>244</v>
      </c>
      <c r="B21" s="292" t="str">
        <f>I17</f>
        <v>Equipe 3</v>
      </c>
      <c r="C21" s="297" t="s">
        <v>113</v>
      </c>
      <c r="D21" s="280"/>
      <c r="E21" s="280"/>
      <c r="F21" s="300"/>
      <c r="G21" s="301"/>
      <c r="H21" s="280"/>
      <c r="I21" s="298" t="s">
        <v>443</v>
      </c>
      <c r="J21" s="299">
        <f>COUNTIF($B$15:$B$40,#REF!)+COUNTIF($F$13:$F$47,#REF!)</f>
        <v>0</v>
      </c>
      <c r="K21" s="299">
        <f>COUNTIF($B$15:$B$40,#REF!)</f>
        <v>0</v>
      </c>
      <c r="L21" s="299">
        <f>COUNTIF($F$13:$F$47,#REF!)</f>
        <v>0</v>
      </c>
      <c r="M21" s="299">
        <f>COUNTIF($C$15:$C$40,#REF!)+COUNTIF($G$13:$G$47,#REF!)</f>
        <v>0</v>
      </c>
      <c r="N21" s="281" t="e">
        <f>VLOOKUP(I21,'club-ville'!A:B,2,FALSE)</f>
        <v>#N/A</v>
      </c>
    </row>
    <row r="22" spans="1:14" ht="15" customHeight="1">
      <c r="A22" s="294"/>
      <c r="B22" s="292" t="str">
        <f>I21</f>
        <v>Equipe 7</v>
      </c>
      <c r="C22" s="295" t="str">
        <f>I19</f>
        <v>Equipe 5</v>
      </c>
      <c r="D22" s="280"/>
      <c r="E22" s="291" t="s">
        <v>286</v>
      </c>
      <c r="F22" s="292" t="str">
        <f>I16</f>
        <v>Equipe 2</v>
      </c>
      <c r="G22" s="293" t="s">
        <v>113</v>
      </c>
      <c r="H22" s="280"/>
      <c r="I22" s="303" t="s">
        <v>30</v>
      </c>
      <c r="J22" s="299"/>
      <c r="K22" s="299"/>
      <c r="L22" s="299"/>
      <c r="M22" s="299">
        <f t="shared" ref="M22" si="0">COUNTIF($C$15:$C$40,I22)+COUNTIF($G$13:$G$47,I22)</f>
        <v>3</v>
      </c>
    </row>
    <row r="23" spans="1:14" ht="15" customHeight="1">
      <c r="A23" s="280"/>
      <c r="B23" s="300"/>
      <c r="C23" s="301"/>
      <c r="D23" s="302"/>
      <c r="E23" s="294"/>
      <c r="F23" s="292" t="str">
        <f>I21</f>
        <v>Equipe 7</v>
      </c>
      <c r="G23" s="295" t="str">
        <f>I20</f>
        <v>Equipe 6</v>
      </c>
      <c r="H23" s="280"/>
    </row>
    <row r="24" spans="1:14" ht="15" customHeight="1">
      <c r="A24" s="296" t="s">
        <v>245</v>
      </c>
      <c r="B24" s="292" t="str">
        <f>I18</f>
        <v>Equipe 4</v>
      </c>
      <c r="C24" s="297" t="s">
        <v>113</v>
      </c>
      <c r="D24" s="280"/>
      <c r="E24" s="280"/>
      <c r="F24" s="300"/>
      <c r="G24" s="301"/>
      <c r="H24" s="280"/>
    </row>
    <row r="25" spans="1:14" ht="15" customHeight="1">
      <c r="A25" s="294"/>
      <c r="B25" s="292" t="str">
        <f>I20</f>
        <v>Equipe 6</v>
      </c>
      <c r="C25" s="295" t="str">
        <f>I17</f>
        <v>Equipe 3</v>
      </c>
      <c r="D25" s="280"/>
      <c r="E25" s="291" t="s">
        <v>234</v>
      </c>
      <c r="F25" s="292" t="str">
        <f>I18</f>
        <v>Equipe 4</v>
      </c>
      <c r="G25" s="293" t="s">
        <v>113</v>
      </c>
      <c r="H25" s="280"/>
    </row>
    <row r="26" spans="1:14" ht="15" customHeight="1">
      <c r="A26" s="280"/>
      <c r="B26" s="300"/>
      <c r="C26" s="301"/>
      <c r="D26" s="302"/>
      <c r="E26" s="294"/>
      <c r="F26" s="292" t="str">
        <f>I17</f>
        <v>Equipe 3</v>
      </c>
      <c r="G26" s="295" t="str">
        <f>I21</f>
        <v>Equipe 7</v>
      </c>
      <c r="H26" s="280"/>
    </row>
    <row r="27" spans="1:14" ht="15" customHeight="1">
      <c r="A27" s="296" t="s">
        <v>287</v>
      </c>
      <c r="B27" s="292" t="str">
        <f>I15</f>
        <v>Equipe 1</v>
      </c>
      <c r="C27" s="297" t="s">
        <v>113</v>
      </c>
      <c r="D27" s="280"/>
      <c r="E27" s="280"/>
      <c r="F27" s="300"/>
      <c r="G27" s="301"/>
      <c r="H27" s="280"/>
    </row>
    <row r="28" spans="1:14" ht="15" customHeight="1">
      <c r="A28" s="294"/>
      <c r="B28" s="292" t="str">
        <f>I21</f>
        <v>Equipe 7</v>
      </c>
      <c r="C28" s="295" t="str">
        <f>I18</f>
        <v>Equipe 4</v>
      </c>
      <c r="D28" s="280"/>
      <c r="E28" s="291" t="s">
        <v>235</v>
      </c>
      <c r="F28" s="292" t="str">
        <f>I19</f>
        <v>Equipe 5</v>
      </c>
      <c r="G28" s="293" t="s">
        <v>113</v>
      </c>
      <c r="H28" s="280"/>
    </row>
    <row r="29" spans="1:14" ht="15" customHeight="1">
      <c r="A29" s="280"/>
      <c r="B29" s="300"/>
      <c r="C29" s="301"/>
      <c r="D29" s="302"/>
      <c r="E29" s="294"/>
      <c r="F29" s="292" t="str">
        <f>I21</f>
        <v>Equipe 7</v>
      </c>
      <c r="G29" s="295" t="str">
        <f>I15</f>
        <v>Equipe 1</v>
      </c>
      <c r="H29" s="280"/>
      <c r="I29" s="298"/>
    </row>
    <row r="30" spans="1:14" ht="15" customHeight="1">
      <c r="A30" s="296" t="s">
        <v>246</v>
      </c>
      <c r="B30" s="292" t="str">
        <f>I16</f>
        <v>Equipe 2</v>
      </c>
      <c r="C30" s="297" t="s">
        <v>113</v>
      </c>
      <c r="D30" s="280"/>
      <c r="E30" s="280"/>
      <c r="F30" s="300"/>
      <c r="G30" s="301"/>
      <c r="H30" s="280"/>
    </row>
    <row r="31" spans="1:14" ht="15" customHeight="1">
      <c r="A31" s="294"/>
      <c r="B31" s="292" t="str">
        <f>I20</f>
        <v>Equipe 6</v>
      </c>
      <c r="C31" s="295" t="str">
        <f>I21</f>
        <v>Equipe 7</v>
      </c>
      <c r="D31" s="280"/>
      <c r="E31" s="291" t="s">
        <v>288</v>
      </c>
      <c r="F31" s="292" t="str">
        <f>I16</f>
        <v>Equipe 2</v>
      </c>
      <c r="G31" s="293" t="s">
        <v>113</v>
      </c>
      <c r="H31" s="280"/>
      <c r="J31" s="303"/>
    </row>
    <row r="32" spans="1:14" ht="15" customHeight="1">
      <c r="A32" s="280"/>
      <c r="B32" s="300"/>
      <c r="C32" s="301"/>
      <c r="D32" s="302"/>
      <c r="E32" s="294"/>
      <c r="F32" s="292" t="str">
        <f>I17</f>
        <v>Equipe 3</v>
      </c>
      <c r="G32" s="295" t="str">
        <f>I18</f>
        <v>Equipe 4</v>
      </c>
      <c r="H32" s="280"/>
      <c r="I32" s="280"/>
    </row>
    <row r="33" spans="1:9" ht="15" customHeight="1">
      <c r="A33" s="296" t="s">
        <v>247</v>
      </c>
      <c r="B33" s="292" t="str">
        <f>I15</f>
        <v>Equipe 1</v>
      </c>
      <c r="C33" s="297" t="s">
        <v>113</v>
      </c>
      <c r="D33" s="280"/>
      <c r="E33" s="280"/>
      <c r="F33" s="300"/>
      <c r="G33" s="301"/>
      <c r="H33" s="280"/>
      <c r="I33" s="280"/>
    </row>
    <row r="34" spans="1:9" ht="15" customHeight="1">
      <c r="A34" s="294"/>
      <c r="B34" s="292" t="str">
        <f>I19</f>
        <v>Equipe 5</v>
      </c>
      <c r="C34" s="295" t="str">
        <f>I16</f>
        <v>Equipe 2</v>
      </c>
      <c r="D34" s="280"/>
      <c r="E34" s="291" t="s">
        <v>236</v>
      </c>
      <c r="F34" s="292" t="str">
        <f>I15</f>
        <v>Equipe 1</v>
      </c>
      <c r="G34" s="293" t="s">
        <v>113</v>
      </c>
      <c r="H34" s="280"/>
      <c r="I34" s="280"/>
    </row>
    <row r="35" spans="1:9" ht="15" customHeight="1">
      <c r="A35" s="280"/>
      <c r="B35" s="300"/>
      <c r="C35" s="301"/>
      <c r="D35" s="302"/>
      <c r="E35" s="294"/>
      <c r="F35" s="292" t="str">
        <f>I20</f>
        <v>Equipe 6</v>
      </c>
      <c r="G35" s="295" t="str">
        <f>I17</f>
        <v>Equipe 3</v>
      </c>
      <c r="H35" s="280"/>
      <c r="I35" s="280"/>
    </row>
    <row r="36" spans="1:9" ht="15" customHeight="1">
      <c r="A36" s="296" t="s">
        <v>289</v>
      </c>
      <c r="B36" s="292" t="str">
        <f>I18</f>
        <v>Equipe 4</v>
      </c>
      <c r="C36" s="297" t="s">
        <v>113</v>
      </c>
      <c r="D36" s="280"/>
      <c r="E36" s="280"/>
      <c r="F36" s="300"/>
      <c r="G36" s="301"/>
      <c r="H36" s="280"/>
      <c r="I36" s="280"/>
    </row>
    <row r="37" spans="1:9" ht="15" customHeight="1">
      <c r="A37" s="294"/>
      <c r="B37" s="292" t="str">
        <f>I21</f>
        <v>Equipe 7</v>
      </c>
      <c r="C37" s="295" t="str">
        <f>I19</f>
        <v>Equipe 5</v>
      </c>
      <c r="D37" s="280"/>
      <c r="E37" s="291" t="s">
        <v>134</v>
      </c>
      <c r="F37" s="292" t="str">
        <f>I19</f>
        <v>Equipe 5</v>
      </c>
      <c r="G37" s="293" t="s">
        <v>113</v>
      </c>
      <c r="H37" s="280"/>
      <c r="I37" s="280"/>
    </row>
    <row r="38" spans="1:9" ht="15" customHeight="1">
      <c r="A38" s="280"/>
      <c r="B38" s="300"/>
      <c r="C38" s="300"/>
      <c r="D38" s="302"/>
      <c r="E38" s="294"/>
      <c r="F38" s="292" t="str">
        <f>I18</f>
        <v>Equipe 4</v>
      </c>
      <c r="G38" s="295" t="str">
        <f>I20</f>
        <v>Equipe 6</v>
      </c>
      <c r="H38" s="280"/>
      <c r="I38" s="280"/>
    </row>
    <row r="39" spans="1:9" ht="15" customHeight="1">
      <c r="A39" s="296" t="s">
        <v>290</v>
      </c>
      <c r="B39" s="292" t="str">
        <f>I20</f>
        <v>Equipe 6</v>
      </c>
      <c r="C39" s="297" t="s">
        <v>113</v>
      </c>
      <c r="D39" s="280"/>
      <c r="E39" s="280"/>
      <c r="F39" s="300"/>
      <c r="G39" s="301"/>
      <c r="H39" s="280"/>
      <c r="I39" s="280"/>
    </row>
    <row r="40" spans="1:9" ht="15" customHeight="1">
      <c r="A40" s="294"/>
      <c r="B40" s="292" t="str">
        <f>I17</f>
        <v>Equipe 3</v>
      </c>
      <c r="C40" s="295" t="str">
        <f>I21</f>
        <v>Equipe 7</v>
      </c>
      <c r="D40" s="280"/>
      <c r="E40" s="291" t="s">
        <v>291</v>
      </c>
      <c r="F40" s="292" t="str">
        <f>I21</f>
        <v>Equipe 7</v>
      </c>
      <c r="G40" s="293" t="s">
        <v>113</v>
      </c>
      <c r="H40" s="280"/>
      <c r="I40" s="280"/>
    </row>
    <row r="41" spans="1:9" ht="15" customHeight="1">
      <c r="B41" s="304"/>
      <c r="C41" s="304"/>
      <c r="D41" s="302"/>
      <c r="E41" s="294"/>
      <c r="F41" s="292" t="str">
        <f>I20</f>
        <v>Equipe 6</v>
      </c>
      <c r="G41" s="295" t="str">
        <f>I16</f>
        <v>Equipe 2</v>
      </c>
      <c r="H41" s="280"/>
      <c r="I41" s="280"/>
    </row>
    <row r="42" spans="1:9" ht="15" customHeight="1">
      <c r="A42" s="305" t="s">
        <v>467</v>
      </c>
      <c r="B42" s="306"/>
      <c r="C42" s="307"/>
      <c r="D42" s="302"/>
      <c r="E42" s="280"/>
      <c r="F42" s="308"/>
      <c r="G42" s="309"/>
      <c r="H42" s="280"/>
      <c r="I42" s="280"/>
    </row>
    <row r="43" spans="1:9" ht="15" customHeight="1">
      <c r="A43" s="310"/>
      <c r="B43" s="311"/>
      <c r="C43" s="312"/>
      <c r="D43" s="302"/>
      <c r="E43" s="291" t="s">
        <v>237</v>
      </c>
      <c r="F43" s="292" t="str">
        <f>I15</f>
        <v>Equipe 1</v>
      </c>
      <c r="G43" s="293" t="s">
        <v>113</v>
      </c>
      <c r="H43" s="280"/>
      <c r="I43" s="280"/>
    </row>
    <row r="44" spans="1:9" ht="15" customHeight="1">
      <c r="A44" s="310"/>
      <c r="B44" s="311"/>
      <c r="C44" s="312"/>
      <c r="D44" s="313"/>
      <c r="E44" s="294"/>
      <c r="F44" s="292" t="str">
        <f>I16</f>
        <v>Equipe 2</v>
      </c>
      <c r="G44" s="295" t="str">
        <f>I18</f>
        <v>Equipe 4</v>
      </c>
      <c r="H44" s="280"/>
      <c r="I44" s="280"/>
    </row>
    <row r="45" spans="1:9" ht="15" customHeight="1">
      <c r="A45" s="310"/>
      <c r="B45" s="311"/>
      <c r="C45" s="312"/>
      <c r="D45" s="280"/>
      <c r="E45" s="280"/>
      <c r="H45" s="280"/>
      <c r="I45" s="280"/>
    </row>
    <row r="46" spans="1:9" ht="15" customHeight="1">
      <c r="A46" s="310"/>
      <c r="B46" s="311"/>
      <c r="C46" s="312"/>
      <c r="D46" s="280"/>
      <c r="E46" s="291" t="s">
        <v>238</v>
      </c>
      <c r="F46" s="292" t="str">
        <f>I19</f>
        <v>Equipe 5</v>
      </c>
      <c r="G46" s="293" t="s">
        <v>113</v>
      </c>
      <c r="H46" s="280"/>
      <c r="I46" s="280"/>
    </row>
    <row r="47" spans="1:9" ht="15" customHeight="1">
      <c r="A47" s="314"/>
      <c r="B47" s="315"/>
      <c r="C47" s="316"/>
      <c r="D47" s="280"/>
      <c r="E47" s="294"/>
      <c r="F47" s="292" t="str">
        <f>I17</f>
        <v>Equipe 3</v>
      </c>
      <c r="G47" s="295" t="str">
        <f>I22</f>
        <v>Directeur de tournoi</v>
      </c>
      <c r="H47" s="280"/>
      <c r="I47" s="280"/>
    </row>
    <row r="48" spans="1:9" ht="15" customHeight="1">
      <c r="A48" s="317"/>
      <c r="B48" s="317"/>
      <c r="C48" s="317"/>
      <c r="D48" s="302"/>
      <c r="E48" s="280"/>
      <c r="F48" s="308"/>
      <c r="G48" s="318"/>
      <c r="H48" s="280"/>
      <c r="I48" s="280"/>
    </row>
    <row r="49" spans="1:9" ht="15" customHeight="1">
      <c r="A49" s="319" t="s">
        <v>114</v>
      </c>
      <c r="B49" s="319"/>
      <c r="C49" s="319"/>
      <c r="D49" s="319"/>
      <c r="E49" s="319"/>
      <c r="F49" s="319"/>
      <c r="G49" s="319"/>
      <c r="H49" s="280"/>
      <c r="I49" s="280"/>
    </row>
    <row r="50" spans="1:9" ht="15" customHeight="1">
      <c r="A50" s="319"/>
      <c r="B50" s="319"/>
      <c r="C50" s="319"/>
      <c r="D50" s="319"/>
      <c r="E50" s="319"/>
      <c r="F50" s="319"/>
      <c r="G50" s="319"/>
      <c r="H50" s="280"/>
      <c r="I50" s="280"/>
    </row>
    <row r="51" spans="1:9" ht="15" customHeight="1">
      <c r="A51" s="319"/>
      <c r="B51" s="319"/>
      <c r="C51" s="319"/>
      <c r="D51" s="319"/>
      <c r="E51" s="319"/>
      <c r="F51" s="319"/>
      <c r="G51" s="319"/>
      <c r="H51" s="280"/>
      <c r="I51" s="280"/>
    </row>
    <row r="52" spans="1:9" ht="15" customHeight="1">
      <c r="A52" s="280"/>
      <c r="B52" s="280"/>
      <c r="C52" s="280"/>
      <c r="G52" s="320"/>
    </row>
    <row r="53" spans="1:9" s="196" customFormat="1" ht="15" customHeight="1">
      <c r="C53" s="231" t="s">
        <v>464</v>
      </c>
      <c r="D53" s="232"/>
      <c r="E53" s="232"/>
      <c r="F53" s="233"/>
    </row>
    <row r="54" spans="1:9" s="196" customFormat="1" ht="15" customHeight="1">
      <c r="C54" s="234" t="s">
        <v>465</v>
      </c>
      <c r="D54" s="235"/>
      <c r="E54" s="235"/>
      <c r="F54" s="236"/>
    </row>
    <row r="55" spans="1:9" ht="30" customHeight="1">
      <c r="A55" s="194" t="s">
        <v>444</v>
      </c>
      <c r="B55" s="194"/>
      <c r="C55" s="194"/>
      <c r="D55" s="194"/>
      <c r="E55" s="194"/>
      <c r="F55" s="194"/>
      <c r="G55" s="194"/>
      <c r="H55" s="280"/>
      <c r="I55" s="280"/>
    </row>
    <row r="56" spans="1:9" ht="30" customHeight="1">
      <c r="A56" s="197" t="s">
        <v>426</v>
      </c>
      <c r="B56" s="197"/>
      <c r="C56" s="197"/>
      <c r="D56" s="197"/>
      <c r="E56" s="197"/>
      <c r="F56" s="197"/>
      <c r="G56" s="197"/>
      <c r="H56" s="280"/>
      <c r="I56" s="280"/>
    </row>
    <row r="57" spans="1:9" ht="30" customHeight="1">
      <c r="A57" s="197" t="s">
        <v>427</v>
      </c>
      <c r="B57" s="197"/>
      <c r="C57" s="197"/>
      <c r="D57" s="197"/>
      <c r="E57" s="197"/>
      <c r="F57" s="197"/>
      <c r="G57" s="197"/>
      <c r="H57" s="280"/>
      <c r="I57" s="280"/>
    </row>
    <row r="58" spans="1:9" ht="30" customHeight="1">
      <c r="A58" s="197" t="s">
        <v>428</v>
      </c>
      <c r="B58" s="197"/>
      <c r="C58" s="197"/>
      <c r="D58" s="197"/>
      <c r="E58" s="197"/>
      <c r="F58" s="197"/>
      <c r="G58" s="197"/>
      <c r="H58" s="280"/>
      <c r="I58" s="280"/>
    </row>
    <row r="59" spans="1:9" ht="15" customHeight="1">
      <c r="D59" s="282"/>
      <c r="H59" s="280"/>
      <c r="I59" s="280"/>
    </row>
    <row r="60" spans="1:9" ht="15" customHeight="1">
      <c r="A60" s="283" t="e">
        <f>I69&amp;" ("&amp;N69&amp;")"</f>
        <v>#N/A</v>
      </c>
      <c r="B60" s="283"/>
      <c r="C60" s="283"/>
      <c r="D60" s="282"/>
      <c r="E60" s="283" t="e">
        <f>I73&amp;" ("&amp;N73&amp;")"</f>
        <v>#N/A</v>
      </c>
      <c r="F60" s="283"/>
      <c r="G60" s="283"/>
      <c r="H60" s="280"/>
      <c r="I60" s="280"/>
    </row>
    <row r="61" spans="1:9" ht="15" customHeight="1">
      <c r="A61" s="283" t="e">
        <f>I70&amp;" ("&amp;N70&amp;")"</f>
        <v>#N/A</v>
      </c>
      <c r="B61" s="283"/>
      <c r="C61" s="283"/>
      <c r="D61" s="282"/>
      <c r="E61" s="283" t="e">
        <f>I74&amp;" ("&amp;N74&amp;")"</f>
        <v>#N/A</v>
      </c>
      <c r="F61" s="283"/>
      <c r="G61" s="283"/>
      <c r="H61" s="280"/>
      <c r="I61" s="280"/>
    </row>
    <row r="62" spans="1:9" ht="15" customHeight="1">
      <c r="A62" s="283" t="e">
        <f>I71&amp;" ("&amp;N71&amp;")"</f>
        <v>#N/A</v>
      </c>
      <c r="B62" s="283"/>
      <c r="C62" s="283"/>
      <c r="D62" s="282"/>
      <c r="E62" s="283" t="e">
        <f>I75&amp;" ("&amp;N75&amp;")"</f>
        <v>#N/A</v>
      </c>
      <c r="F62" s="283"/>
      <c r="G62" s="283"/>
      <c r="H62" s="280"/>
      <c r="I62" s="280"/>
    </row>
    <row r="63" spans="1:9" ht="15" customHeight="1">
      <c r="A63" s="283" t="e">
        <f>I72&amp;" ("&amp;N72&amp;")"</f>
        <v>#N/A</v>
      </c>
      <c r="B63" s="283"/>
      <c r="C63" s="283"/>
      <c r="D63" s="282"/>
      <c r="H63" s="280"/>
      <c r="I63" s="280"/>
    </row>
    <row r="64" spans="1:9" ht="15" customHeight="1">
      <c r="A64" s="284"/>
      <c r="B64" s="284"/>
      <c r="C64" s="284"/>
      <c r="D64" s="284"/>
      <c r="E64" s="284"/>
      <c r="F64" s="284"/>
      <c r="G64" s="284"/>
      <c r="H64" s="280"/>
      <c r="I64" s="280"/>
    </row>
    <row r="65" spans="1:14" ht="15" customHeight="1">
      <c r="A65" s="285" t="s">
        <v>22</v>
      </c>
      <c r="B65" s="286"/>
      <c r="C65" s="287"/>
      <c r="D65" s="288"/>
      <c r="E65" s="285" t="s">
        <v>23</v>
      </c>
      <c r="F65" s="286"/>
      <c r="G65" s="287"/>
      <c r="H65" s="280"/>
      <c r="I65" s="280"/>
    </row>
    <row r="66" spans="1:14" ht="15" customHeight="1">
      <c r="A66" s="288"/>
      <c r="B66" s="289"/>
      <c r="C66" s="289"/>
      <c r="D66" s="288"/>
      <c r="E66" s="288"/>
      <c r="F66" s="289"/>
      <c r="G66" s="289"/>
      <c r="H66" s="280"/>
      <c r="I66" s="280"/>
    </row>
    <row r="67" spans="1:14" ht="15" customHeight="1">
      <c r="A67" s="290" t="s">
        <v>133</v>
      </c>
      <c r="B67" s="285" t="s">
        <v>77</v>
      </c>
      <c r="C67" s="287"/>
      <c r="D67" s="280"/>
      <c r="E67" s="291" t="s">
        <v>283</v>
      </c>
      <c r="F67" s="292" t="str">
        <f>I75</f>
        <v>Equipe 7</v>
      </c>
      <c r="G67" s="293" t="s">
        <v>113</v>
      </c>
      <c r="H67" s="280"/>
      <c r="I67" s="280"/>
    </row>
    <row r="68" spans="1:14" ht="15" customHeight="1">
      <c r="A68" s="288"/>
      <c r="B68" s="289"/>
      <c r="C68" s="289"/>
      <c r="D68" s="280"/>
      <c r="E68" s="294"/>
      <c r="F68" s="292" t="str">
        <f>I72</f>
        <v>Equipe 7</v>
      </c>
      <c r="G68" s="295" t="str">
        <f>I76</f>
        <v>Directeur de tournoi</v>
      </c>
      <c r="H68" s="280"/>
      <c r="I68" s="288"/>
    </row>
    <row r="69" spans="1:14" ht="15" customHeight="1">
      <c r="A69" s="296" t="s">
        <v>284</v>
      </c>
      <c r="B69" s="292" t="str">
        <f>I71</f>
        <v>Equipe 7</v>
      </c>
      <c r="C69" s="297" t="s">
        <v>113</v>
      </c>
      <c r="D69" s="280"/>
      <c r="E69" s="280"/>
      <c r="F69" s="300"/>
      <c r="G69" s="301"/>
      <c r="H69" s="280"/>
      <c r="I69" s="298" t="str">
        <f>'Résultats à 7'!I12:J12</f>
        <v>Equipe 1</v>
      </c>
      <c r="J69" s="299">
        <f>COUNTIF($B$69:$B$94,I69)+COUNTIF($F$67:$F$101,I69)</f>
        <v>6</v>
      </c>
      <c r="K69" s="299">
        <f>COUNTIF($B$69:$B$94,I69)</f>
        <v>3</v>
      </c>
      <c r="L69" s="299">
        <f>COUNTIF($F$67:$F$101,I69)</f>
        <v>3</v>
      </c>
      <c r="M69" s="299">
        <f>COUNTIF($C$69:$C$94,I69)+COUNTIF($G$67:$G$101,I69)</f>
        <v>2</v>
      </c>
      <c r="N69" s="281" t="e">
        <f>VLOOKUP(I69,'club-ville'!A:B,2,FALSE)</f>
        <v>#N/A</v>
      </c>
    </row>
    <row r="70" spans="1:14" ht="15" customHeight="1">
      <c r="A70" s="294"/>
      <c r="B70" s="292" t="str">
        <f>I74</f>
        <v>Equipe 7</v>
      </c>
      <c r="C70" s="295" t="str">
        <f>I76</f>
        <v>Directeur de tournoi</v>
      </c>
      <c r="D70" s="280"/>
      <c r="E70" s="291" t="s">
        <v>240</v>
      </c>
      <c r="F70" s="292" t="str">
        <f>I74</f>
        <v>Equipe 7</v>
      </c>
      <c r="G70" s="293" t="s">
        <v>113</v>
      </c>
      <c r="H70" s="280"/>
      <c r="I70" s="298" t="str">
        <f>'Résultats à 7'!I14:J14</f>
        <v>Equipe 7</v>
      </c>
      <c r="J70" s="299">
        <f t="shared" ref="J70:J75" si="1">COUNTIF($B$69:$B$94,I70)+COUNTIF($F$67:$F$101,I70)</f>
        <v>36</v>
      </c>
      <c r="K70" s="299">
        <f t="shared" ref="K70:K75" si="2">COUNTIF($B$69:$B$94,I70)</f>
        <v>15</v>
      </c>
      <c r="L70" s="299">
        <f t="shared" ref="L70:L75" si="3">COUNTIF($F$67:$F$101,I70)</f>
        <v>21</v>
      </c>
      <c r="M70" s="299">
        <f t="shared" ref="M70:M76" si="4">COUNTIF($C$69:$C$94,I70)+COUNTIF($G$67:$G$101,I70)</f>
        <v>17</v>
      </c>
      <c r="N70" s="281" t="e">
        <f>VLOOKUP(I70,'club-ville'!A:B,2,FALSE)</f>
        <v>#N/A</v>
      </c>
    </row>
    <row r="71" spans="1:14" ht="15" customHeight="1">
      <c r="A71" s="280"/>
      <c r="B71" s="300"/>
      <c r="C71" s="301"/>
      <c r="D71" s="280"/>
      <c r="E71" s="294"/>
      <c r="F71" s="292" t="str">
        <f>I73</f>
        <v>Equipe 7</v>
      </c>
      <c r="G71" s="295" t="str">
        <f>I71</f>
        <v>Equipe 7</v>
      </c>
      <c r="H71" s="280"/>
      <c r="I71" s="298" t="str">
        <f>'Résultats à 7'!I13:J13</f>
        <v>Equipe 7</v>
      </c>
      <c r="J71" s="299">
        <f t="shared" si="1"/>
        <v>36</v>
      </c>
      <c r="K71" s="299">
        <f t="shared" si="2"/>
        <v>15</v>
      </c>
      <c r="L71" s="299">
        <f t="shared" si="3"/>
        <v>21</v>
      </c>
      <c r="M71" s="299">
        <f t="shared" si="4"/>
        <v>17</v>
      </c>
      <c r="N71" s="281" t="e">
        <f>VLOOKUP(I71,'club-ville'!A:B,2,FALSE)</f>
        <v>#N/A</v>
      </c>
    </row>
    <row r="72" spans="1:14" ht="15" customHeight="1">
      <c r="A72" s="296" t="s">
        <v>285</v>
      </c>
      <c r="B72" s="292" t="str">
        <f>I70</f>
        <v>Equipe 7</v>
      </c>
      <c r="C72" s="297" t="s">
        <v>113</v>
      </c>
      <c r="D72" s="280"/>
      <c r="E72" s="280"/>
      <c r="F72" s="300"/>
      <c r="G72" s="301"/>
      <c r="H72" s="280"/>
      <c r="I72" s="298" t="str">
        <f>'Résultats à 7'!I16</f>
        <v>Equipe 7</v>
      </c>
      <c r="J72" s="299">
        <f t="shared" si="1"/>
        <v>36</v>
      </c>
      <c r="K72" s="299">
        <f t="shared" si="2"/>
        <v>15</v>
      </c>
      <c r="L72" s="299">
        <f t="shared" si="3"/>
        <v>21</v>
      </c>
      <c r="M72" s="299">
        <f t="shared" si="4"/>
        <v>17</v>
      </c>
      <c r="N72" s="281" t="e">
        <f>VLOOKUP(I72,'club-ville'!A:B,2,FALSE)</f>
        <v>#N/A</v>
      </c>
    </row>
    <row r="73" spans="1:14" ht="15" customHeight="1">
      <c r="A73" s="294"/>
      <c r="B73" s="292" t="str">
        <f>I73</f>
        <v>Equipe 7</v>
      </c>
      <c r="C73" s="295" t="str">
        <f>I74</f>
        <v>Equipe 7</v>
      </c>
      <c r="D73" s="280"/>
      <c r="E73" s="291" t="s">
        <v>241</v>
      </c>
      <c r="F73" s="292" t="str">
        <f>I69</f>
        <v>Equipe 1</v>
      </c>
      <c r="G73" s="293" t="s">
        <v>113</v>
      </c>
      <c r="H73" s="280"/>
      <c r="I73" s="298" t="str">
        <f>'Résultats à 7'!I15</f>
        <v>Equipe 7</v>
      </c>
      <c r="J73" s="299">
        <f t="shared" si="1"/>
        <v>36</v>
      </c>
      <c r="K73" s="299">
        <f t="shared" si="2"/>
        <v>15</v>
      </c>
      <c r="L73" s="299">
        <f t="shared" si="3"/>
        <v>21</v>
      </c>
      <c r="M73" s="299">
        <f t="shared" si="4"/>
        <v>17</v>
      </c>
      <c r="N73" s="281" t="e">
        <f>VLOOKUP(I73,'club-ville'!A:B,2,FALSE)</f>
        <v>#N/A</v>
      </c>
    </row>
    <row r="74" spans="1:14" ht="15" customHeight="1">
      <c r="A74" s="280"/>
      <c r="B74" s="300"/>
      <c r="C74" s="301"/>
      <c r="D74" s="302"/>
      <c r="E74" s="294"/>
      <c r="F74" s="292" t="str">
        <f>I72</f>
        <v>Equipe 7</v>
      </c>
      <c r="G74" s="295" t="str">
        <f>I73</f>
        <v>Equipe 7</v>
      </c>
      <c r="H74" s="280"/>
      <c r="I74" s="298" t="str">
        <f>'Résultats à 7'!I17:J17</f>
        <v>Equipe 7</v>
      </c>
      <c r="J74" s="299">
        <f t="shared" si="1"/>
        <v>36</v>
      </c>
      <c r="K74" s="299">
        <f t="shared" si="2"/>
        <v>15</v>
      </c>
      <c r="L74" s="299">
        <f t="shared" si="3"/>
        <v>21</v>
      </c>
      <c r="M74" s="299">
        <f t="shared" si="4"/>
        <v>17</v>
      </c>
      <c r="N74" s="281" t="e">
        <f>VLOOKUP(I74,'club-ville'!A:B,2,FALSE)</f>
        <v>#N/A</v>
      </c>
    </row>
    <row r="75" spans="1:14" ht="15" customHeight="1">
      <c r="A75" s="296" t="s">
        <v>244</v>
      </c>
      <c r="B75" s="292" t="str">
        <f>I71</f>
        <v>Equipe 7</v>
      </c>
      <c r="C75" s="297" t="s">
        <v>113</v>
      </c>
      <c r="D75" s="280"/>
      <c r="E75" s="280"/>
      <c r="F75" s="300"/>
      <c r="G75" s="301"/>
      <c r="H75" s="280"/>
      <c r="I75" s="298" t="str">
        <f>'Résultats à 7'!I18:J18</f>
        <v>Equipe 7</v>
      </c>
      <c r="J75" s="299">
        <f t="shared" si="1"/>
        <v>36</v>
      </c>
      <c r="K75" s="299">
        <f t="shared" si="2"/>
        <v>15</v>
      </c>
      <c r="L75" s="299">
        <f t="shared" si="3"/>
        <v>21</v>
      </c>
      <c r="M75" s="299">
        <f t="shared" si="4"/>
        <v>17</v>
      </c>
      <c r="N75" s="281" t="e">
        <f>VLOOKUP(I75,'club-ville'!A:B,2,FALSE)</f>
        <v>#N/A</v>
      </c>
    </row>
    <row r="76" spans="1:14" ht="15" customHeight="1">
      <c r="A76" s="294"/>
      <c r="B76" s="292" t="str">
        <f>I75</f>
        <v>Equipe 7</v>
      </c>
      <c r="C76" s="295" t="str">
        <f>I70</f>
        <v>Equipe 7</v>
      </c>
      <c r="D76" s="280"/>
      <c r="E76" s="291" t="s">
        <v>286</v>
      </c>
      <c r="F76" s="292" t="str">
        <f>I70</f>
        <v>Equipe 7</v>
      </c>
      <c r="G76" s="293" t="s">
        <v>113</v>
      </c>
      <c r="H76" s="280"/>
      <c r="I76" s="303" t="s">
        <v>30</v>
      </c>
      <c r="J76" s="299"/>
      <c r="K76" s="299"/>
      <c r="L76" s="299"/>
      <c r="M76" s="299">
        <f t="shared" si="4"/>
        <v>2</v>
      </c>
    </row>
    <row r="77" spans="1:14" ht="15" customHeight="1">
      <c r="A77" s="280"/>
      <c r="B77" s="300"/>
      <c r="C77" s="301"/>
      <c r="D77" s="302"/>
      <c r="E77" s="294"/>
      <c r="F77" s="292" t="str">
        <f>I75</f>
        <v>Equipe 7</v>
      </c>
      <c r="G77" s="295" t="str">
        <f>I74</f>
        <v>Equipe 7</v>
      </c>
      <c r="H77" s="280"/>
    </row>
    <row r="78" spans="1:14" ht="15" customHeight="1">
      <c r="A78" s="296" t="s">
        <v>245</v>
      </c>
      <c r="B78" s="292" t="str">
        <f>I69</f>
        <v>Equipe 1</v>
      </c>
      <c r="C78" s="297" t="s">
        <v>113</v>
      </c>
      <c r="D78" s="280"/>
      <c r="E78" s="280"/>
      <c r="F78" s="300"/>
      <c r="G78" s="301"/>
      <c r="H78" s="280"/>
    </row>
    <row r="79" spans="1:14" ht="15" customHeight="1">
      <c r="A79" s="294"/>
      <c r="B79" s="292" t="str">
        <f>I73</f>
        <v>Equipe 7</v>
      </c>
      <c r="C79" s="295" t="str">
        <f>I75</f>
        <v>Equipe 7</v>
      </c>
      <c r="D79" s="280"/>
      <c r="E79" s="291" t="s">
        <v>234</v>
      </c>
      <c r="F79" s="292" t="str">
        <f>I72</f>
        <v>Equipe 7</v>
      </c>
      <c r="G79" s="293" t="s">
        <v>113</v>
      </c>
      <c r="H79" s="280"/>
    </row>
    <row r="80" spans="1:14" ht="15" customHeight="1">
      <c r="A80" s="280"/>
      <c r="B80" s="300"/>
      <c r="C80" s="301"/>
      <c r="D80" s="302"/>
      <c r="E80" s="294"/>
      <c r="F80" s="292" t="str">
        <f>I71</f>
        <v>Equipe 7</v>
      </c>
      <c r="G80" s="295" t="str">
        <f>I75</f>
        <v>Equipe 7</v>
      </c>
      <c r="H80" s="280"/>
      <c r="I80" s="298"/>
    </row>
    <row r="81" spans="1:10" ht="15" customHeight="1">
      <c r="A81" s="296" t="s">
        <v>287</v>
      </c>
      <c r="B81" s="292" t="str">
        <f>I72</f>
        <v>Equipe 7</v>
      </c>
      <c r="C81" s="297" t="s">
        <v>113</v>
      </c>
      <c r="D81" s="280"/>
      <c r="E81" s="280"/>
      <c r="F81" s="300"/>
      <c r="G81" s="301"/>
      <c r="H81" s="280"/>
      <c r="I81" s="298"/>
    </row>
    <row r="82" spans="1:10" ht="15" customHeight="1">
      <c r="A82" s="294"/>
      <c r="B82" s="292" t="str">
        <f>I74</f>
        <v>Equipe 7</v>
      </c>
      <c r="C82" s="295" t="str">
        <f>I71</f>
        <v>Equipe 7</v>
      </c>
      <c r="D82" s="280"/>
      <c r="E82" s="291" t="s">
        <v>235</v>
      </c>
      <c r="F82" s="292" t="str">
        <f>I73</f>
        <v>Equipe 7</v>
      </c>
      <c r="G82" s="293" t="s">
        <v>113</v>
      </c>
      <c r="H82" s="280"/>
      <c r="I82" s="298"/>
    </row>
    <row r="83" spans="1:10" ht="15" customHeight="1">
      <c r="A83" s="280"/>
      <c r="B83" s="300"/>
      <c r="C83" s="301"/>
      <c r="D83" s="302"/>
      <c r="E83" s="294"/>
      <c r="F83" s="292" t="str">
        <f>I75</f>
        <v>Equipe 7</v>
      </c>
      <c r="G83" s="295" t="str">
        <f>I69</f>
        <v>Equipe 1</v>
      </c>
      <c r="H83" s="280"/>
      <c r="I83" s="298"/>
    </row>
    <row r="84" spans="1:10" ht="15" customHeight="1">
      <c r="A84" s="296" t="s">
        <v>246</v>
      </c>
      <c r="B84" s="292" t="str">
        <f>I69</f>
        <v>Equipe 1</v>
      </c>
      <c r="C84" s="297" t="s">
        <v>113</v>
      </c>
      <c r="D84" s="280"/>
      <c r="E84" s="280"/>
      <c r="F84" s="300"/>
      <c r="G84" s="301"/>
      <c r="H84" s="280"/>
      <c r="I84" s="298"/>
    </row>
    <row r="85" spans="1:10" ht="15" customHeight="1">
      <c r="A85" s="294"/>
      <c r="B85" s="292" t="str">
        <f>I75</f>
        <v>Equipe 7</v>
      </c>
      <c r="C85" s="295" t="str">
        <f>I72</f>
        <v>Equipe 7</v>
      </c>
      <c r="D85" s="280"/>
      <c r="E85" s="291" t="s">
        <v>288</v>
      </c>
      <c r="F85" s="292" t="str">
        <f>I70</f>
        <v>Equipe 7</v>
      </c>
      <c r="G85" s="293" t="s">
        <v>113</v>
      </c>
      <c r="H85" s="280"/>
      <c r="I85" s="280"/>
      <c r="J85" s="303"/>
    </row>
    <row r="86" spans="1:10" ht="15" customHeight="1">
      <c r="A86" s="280"/>
      <c r="B86" s="300"/>
      <c r="C86" s="301"/>
      <c r="D86" s="302"/>
      <c r="E86" s="294"/>
      <c r="F86" s="292" t="str">
        <f>I71</f>
        <v>Equipe 7</v>
      </c>
      <c r="G86" s="295" t="str">
        <f>I72</f>
        <v>Equipe 7</v>
      </c>
      <c r="H86" s="280"/>
      <c r="I86" s="280"/>
    </row>
    <row r="87" spans="1:10" ht="15" customHeight="1">
      <c r="A87" s="296" t="s">
        <v>247</v>
      </c>
      <c r="B87" s="292" t="str">
        <f>I70</f>
        <v>Equipe 7</v>
      </c>
      <c r="C87" s="297" t="s">
        <v>113</v>
      </c>
      <c r="D87" s="280"/>
      <c r="E87" s="280"/>
      <c r="F87" s="300"/>
      <c r="G87" s="301"/>
      <c r="H87" s="280"/>
      <c r="I87" s="280"/>
    </row>
    <row r="88" spans="1:10" ht="15" customHeight="1">
      <c r="A88" s="294"/>
      <c r="B88" s="292" t="str">
        <f>I74</f>
        <v>Equipe 7</v>
      </c>
      <c r="C88" s="295" t="str">
        <f>I75</f>
        <v>Equipe 7</v>
      </c>
      <c r="D88" s="280"/>
      <c r="E88" s="291" t="s">
        <v>236</v>
      </c>
      <c r="F88" s="292" t="str">
        <f>I69</f>
        <v>Equipe 1</v>
      </c>
      <c r="G88" s="293" t="s">
        <v>113</v>
      </c>
      <c r="H88" s="280"/>
      <c r="I88" s="280"/>
    </row>
    <row r="89" spans="1:10" ht="15" customHeight="1">
      <c r="A89" s="280"/>
      <c r="B89" s="300"/>
      <c r="C89" s="301"/>
      <c r="D89" s="302"/>
      <c r="E89" s="294"/>
      <c r="F89" s="292" t="str">
        <f>I74</f>
        <v>Equipe 7</v>
      </c>
      <c r="G89" s="295" t="str">
        <f>I71</f>
        <v>Equipe 7</v>
      </c>
      <c r="H89" s="280"/>
      <c r="I89" s="280"/>
    </row>
    <row r="90" spans="1:10" ht="15" customHeight="1">
      <c r="A90" s="296" t="s">
        <v>289</v>
      </c>
      <c r="B90" s="292" t="str">
        <f>I71</f>
        <v>Equipe 7</v>
      </c>
      <c r="C90" s="297" t="s">
        <v>113</v>
      </c>
      <c r="D90" s="280"/>
      <c r="E90" s="280"/>
      <c r="F90" s="300"/>
      <c r="G90" s="300"/>
      <c r="H90" s="280"/>
      <c r="I90" s="280"/>
    </row>
    <row r="91" spans="1:10" ht="15" customHeight="1">
      <c r="A91" s="294"/>
      <c r="B91" s="292" t="str">
        <f>I69</f>
        <v>Equipe 1</v>
      </c>
      <c r="C91" s="295" t="str">
        <f>I73</f>
        <v>Equipe 7</v>
      </c>
      <c r="D91" s="280"/>
      <c r="E91" s="291" t="s">
        <v>134</v>
      </c>
      <c r="F91" s="292" t="str">
        <f>I73</f>
        <v>Equipe 7</v>
      </c>
      <c r="G91" s="293" t="s">
        <v>113</v>
      </c>
      <c r="H91" s="280"/>
      <c r="I91" s="280"/>
    </row>
    <row r="92" spans="1:10" ht="15" customHeight="1">
      <c r="A92" s="280"/>
      <c r="B92" s="300"/>
      <c r="C92" s="300"/>
      <c r="D92" s="302"/>
      <c r="E92" s="294"/>
      <c r="F92" s="292" t="str">
        <f>I72</f>
        <v>Equipe 7</v>
      </c>
      <c r="G92" s="295" t="str">
        <f>I69</f>
        <v>Equipe 1</v>
      </c>
      <c r="H92" s="280"/>
      <c r="I92" s="280"/>
    </row>
    <row r="93" spans="1:10" ht="15" customHeight="1">
      <c r="A93" s="296" t="s">
        <v>290</v>
      </c>
      <c r="B93" s="292" t="str">
        <f>I72</f>
        <v>Equipe 7</v>
      </c>
      <c r="C93" s="297" t="s">
        <v>113</v>
      </c>
      <c r="D93" s="280"/>
      <c r="E93" s="280"/>
      <c r="F93" s="300"/>
      <c r="G93" s="301"/>
      <c r="H93" s="280"/>
      <c r="I93" s="280"/>
    </row>
    <row r="94" spans="1:10" ht="15" customHeight="1">
      <c r="A94" s="294"/>
      <c r="B94" s="292" t="str">
        <f>I70</f>
        <v>Equipe 7</v>
      </c>
      <c r="C94" s="295" t="str">
        <f>I73</f>
        <v>Equipe 7</v>
      </c>
      <c r="D94" s="280"/>
      <c r="E94" s="291" t="s">
        <v>291</v>
      </c>
      <c r="F94" s="292" t="str">
        <f>I75</f>
        <v>Equipe 7</v>
      </c>
      <c r="G94" s="293" t="s">
        <v>113</v>
      </c>
      <c r="H94" s="280"/>
      <c r="I94" s="280"/>
    </row>
    <row r="95" spans="1:10" ht="15" customHeight="1">
      <c r="D95" s="302"/>
      <c r="E95" s="294"/>
      <c r="F95" s="292" t="str">
        <f>I74</f>
        <v>Equipe 7</v>
      </c>
      <c r="G95" s="295" t="str">
        <f>I70</f>
        <v>Equipe 7</v>
      </c>
      <c r="H95" s="280"/>
      <c r="I95" s="280"/>
    </row>
    <row r="96" spans="1:10" ht="15" customHeight="1">
      <c r="A96" s="305" t="s">
        <v>468</v>
      </c>
      <c r="B96" s="306"/>
      <c r="C96" s="307"/>
      <c r="D96" s="280"/>
      <c r="E96" s="280"/>
      <c r="F96" s="300"/>
      <c r="G96" s="301"/>
      <c r="H96" s="280"/>
      <c r="I96" s="280"/>
    </row>
    <row r="97" spans="1:9" ht="15" customHeight="1">
      <c r="A97" s="310"/>
      <c r="B97" s="311"/>
      <c r="C97" s="312"/>
      <c r="D97" s="280"/>
      <c r="E97" s="291" t="s">
        <v>237</v>
      </c>
      <c r="F97" s="292" t="str">
        <f>I69</f>
        <v>Equipe 1</v>
      </c>
      <c r="G97" s="293" t="s">
        <v>113</v>
      </c>
      <c r="H97" s="280"/>
      <c r="I97" s="280"/>
    </row>
    <row r="98" spans="1:9" ht="15" customHeight="1">
      <c r="A98" s="310"/>
      <c r="B98" s="311"/>
      <c r="C98" s="312"/>
      <c r="D98" s="280"/>
      <c r="E98" s="294"/>
      <c r="F98" s="292" t="str">
        <f>I70</f>
        <v>Equipe 7</v>
      </c>
      <c r="G98" s="295" t="str">
        <f>I72</f>
        <v>Equipe 7</v>
      </c>
      <c r="H98" s="280"/>
      <c r="I98" s="280"/>
    </row>
    <row r="99" spans="1:9" ht="15" customHeight="1">
      <c r="A99" s="310"/>
      <c r="B99" s="311"/>
      <c r="C99" s="312"/>
      <c r="D99" s="280"/>
      <c r="E99" s="280"/>
      <c r="F99" s="300"/>
      <c r="G99" s="300"/>
      <c r="H99" s="280"/>
      <c r="I99" s="280"/>
    </row>
    <row r="100" spans="1:9" ht="15" customHeight="1">
      <c r="A100" s="310"/>
      <c r="B100" s="311"/>
      <c r="C100" s="312"/>
      <c r="D100" s="280"/>
      <c r="E100" s="291" t="s">
        <v>238</v>
      </c>
      <c r="F100" s="292" t="str">
        <f>I73</f>
        <v>Equipe 7</v>
      </c>
      <c r="G100" s="293" t="s">
        <v>113</v>
      </c>
      <c r="H100" s="280"/>
      <c r="I100" s="280"/>
    </row>
    <row r="101" spans="1:9" ht="15" customHeight="1">
      <c r="A101" s="314"/>
      <c r="B101" s="315"/>
      <c r="C101" s="316"/>
      <c r="D101" s="280"/>
      <c r="E101" s="294"/>
      <c r="F101" s="292" t="str">
        <f>I71</f>
        <v>Equipe 7</v>
      </c>
      <c r="G101" s="295" t="str">
        <f>I74</f>
        <v>Equipe 7</v>
      </c>
      <c r="H101" s="280"/>
      <c r="I101" s="280"/>
    </row>
    <row r="102" spans="1:9" ht="15" customHeight="1">
      <c r="A102" s="321"/>
      <c r="B102" s="321"/>
      <c r="C102" s="321"/>
      <c r="D102" s="280"/>
      <c r="E102" s="280"/>
      <c r="F102" s="308"/>
      <c r="G102" s="318"/>
      <c r="H102" s="280"/>
      <c r="I102" s="280"/>
    </row>
    <row r="103" spans="1:9" ht="15" customHeight="1">
      <c r="A103" s="319" t="s">
        <v>114</v>
      </c>
      <c r="B103" s="319"/>
      <c r="C103" s="319"/>
      <c r="D103" s="319"/>
      <c r="E103" s="319"/>
      <c r="F103" s="319"/>
      <c r="G103" s="319"/>
      <c r="H103" s="280"/>
      <c r="I103" s="280"/>
    </row>
    <row r="104" spans="1:9" ht="15" customHeight="1">
      <c r="A104" s="319"/>
      <c r="B104" s="319"/>
      <c r="C104" s="319"/>
      <c r="D104" s="319"/>
      <c r="E104" s="319"/>
      <c r="F104" s="319"/>
      <c r="G104" s="319"/>
      <c r="H104" s="280"/>
      <c r="I104" s="280"/>
    </row>
    <row r="105" spans="1:9" ht="15" customHeight="1">
      <c r="A105" s="319"/>
      <c r="B105" s="319"/>
      <c r="C105" s="319"/>
      <c r="D105" s="319"/>
      <c r="E105" s="319"/>
      <c r="F105" s="319"/>
      <c r="G105" s="319"/>
      <c r="H105" s="280"/>
      <c r="I105" s="280"/>
    </row>
    <row r="106" spans="1:9" ht="15" customHeight="1">
      <c r="A106" s="280"/>
      <c r="B106" s="280"/>
      <c r="C106" s="280"/>
      <c r="G106" s="320"/>
    </row>
    <row r="107" spans="1:9" s="196" customFormat="1" ht="15" customHeight="1">
      <c r="C107" s="231" t="s">
        <v>464</v>
      </c>
      <c r="D107" s="232"/>
      <c r="E107" s="232"/>
      <c r="F107" s="233"/>
    </row>
    <row r="108" spans="1:9" s="196" customFormat="1" ht="15" customHeight="1">
      <c r="C108" s="234" t="s">
        <v>465</v>
      </c>
      <c r="D108" s="235"/>
      <c r="E108" s="235"/>
      <c r="F108" s="236"/>
    </row>
  </sheetData>
  <mergeCells count="78">
    <mergeCell ref="A103:G105"/>
    <mergeCell ref="C107:F107"/>
    <mergeCell ref="C108:F108"/>
    <mergeCell ref="A90:A91"/>
    <mergeCell ref="E91:E92"/>
    <mergeCell ref="A93:A94"/>
    <mergeCell ref="E94:E95"/>
    <mergeCell ref="A96:C101"/>
    <mergeCell ref="E97:E98"/>
    <mergeCell ref="E100:E101"/>
    <mergeCell ref="A81:A82"/>
    <mergeCell ref="E82:E83"/>
    <mergeCell ref="A84:A85"/>
    <mergeCell ref="E85:E86"/>
    <mergeCell ref="A87:A88"/>
    <mergeCell ref="E88:E89"/>
    <mergeCell ref="A72:A73"/>
    <mergeCell ref="E73:E74"/>
    <mergeCell ref="A75:A76"/>
    <mergeCell ref="E76:E77"/>
    <mergeCell ref="A78:A79"/>
    <mergeCell ref="E79:E80"/>
    <mergeCell ref="A69:A70"/>
    <mergeCell ref="E70:E71"/>
    <mergeCell ref="A60:C60"/>
    <mergeCell ref="E60:G60"/>
    <mergeCell ref="A61:C61"/>
    <mergeCell ref="E61:G61"/>
    <mergeCell ref="A62:C62"/>
    <mergeCell ref="E62:G62"/>
    <mergeCell ref="A63:C63"/>
    <mergeCell ref="A65:C65"/>
    <mergeCell ref="E65:G65"/>
    <mergeCell ref="B67:C67"/>
    <mergeCell ref="E67:E68"/>
    <mergeCell ref="A58:G58"/>
    <mergeCell ref="A39:A40"/>
    <mergeCell ref="E40:E41"/>
    <mergeCell ref="A42:C47"/>
    <mergeCell ref="E43:E44"/>
    <mergeCell ref="E46:E47"/>
    <mergeCell ref="A49:G51"/>
    <mergeCell ref="C53:F53"/>
    <mergeCell ref="C54:F54"/>
    <mergeCell ref="A55:G55"/>
    <mergeCell ref="A56:G56"/>
    <mergeCell ref="A57:G57"/>
    <mergeCell ref="A30:A31"/>
    <mergeCell ref="E31:E32"/>
    <mergeCell ref="A33:A34"/>
    <mergeCell ref="E34:E35"/>
    <mergeCell ref="A36:A37"/>
    <mergeCell ref="E37:E38"/>
    <mergeCell ref="A21:A22"/>
    <mergeCell ref="E22:E23"/>
    <mergeCell ref="A24:A25"/>
    <mergeCell ref="E25:E26"/>
    <mergeCell ref="A27:A28"/>
    <mergeCell ref="E28:E29"/>
    <mergeCell ref="B13:C13"/>
    <mergeCell ref="E13:E14"/>
    <mergeCell ref="A15:A16"/>
    <mergeCell ref="E16:E17"/>
    <mergeCell ref="A18:A19"/>
    <mergeCell ref="E19:E20"/>
    <mergeCell ref="A11:C11"/>
    <mergeCell ref="E11:G11"/>
    <mergeCell ref="A1:G1"/>
    <mergeCell ref="A2:G2"/>
    <mergeCell ref="A3:G3"/>
    <mergeCell ref="A4:G4"/>
    <mergeCell ref="A6:C6"/>
    <mergeCell ref="E6:G6"/>
    <mergeCell ref="A7:C7"/>
    <mergeCell ref="E7:G7"/>
    <mergeCell ref="A8:C8"/>
    <mergeCell ref="E8:G8"/>
    <mergeCell ref="A9:C9"/>
  </mergeCells>
  <hyperlinks>
    <hyperlink ref="C54" r:id="rId1" display="fabiocloclo@yahoo.fr / 06.77.96.02.20"/>
    <hyperlink ref="C108" r:id="rId2" display="fabiocloclo@yahoo.fr / 06.77.96.02.20"/>
  </hyperlinks>
  <printOptions horizontalCentered="1" verticalCentered="1"/>
  <pageMargins left="0.39370078740157483" right="0.39370078740157483" top="0.39370078740157483" bottom="0.39370078740157483" header="0.39370078740157483" footer="0.59055118110236227"/>
  <pageSetup paperSize="9" scale="88" fitToHeight="2" orientation="portrait" r:id="rId3"/>
  <headerFooter alignWithMargins="0">
    <oddHeader>&amp;R&amp;G</oddHeader>
    <oddFooter>&amp;C&amp;8© 2017 - Fédération Flying Disc France&amp;R&amp;8&amp;D</oddFooter>
  </headerFooter>
  <rowBreaks count="1" manualBreakCount="1">
    <brk id="54" max="6" man="1"/>
  </rowBreaks>
  <drawing r:id="rId4"/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8"/>
  <sheetViews>
    <sheetView view="pageBreakPreview" zoomScaleSheetLayoutView="100" workbookViewId="0">
      <selection activeCell="O14" sqref="O14"/>
    </sheetView>
  </sheetViews>
  <sheetFormatPr baseColWidth="10" defaultColWidth="11.5546875" defaultRowHeight="15" outlineLevelRow="1"/>
  <cols>
    <col min="1" max="1" width="18.44140625" style="79" bestFit="1" customWidth="1"/>
    <col min="2" max="14" width="11.6640625" style="79" bestFit="1" customWidth="1"/>
    <col min="15" max="16" width="11.5546875" style="79"/>
    <col min="17" max="18" width="2.5546875" style="106" bestFit="1" customWidth="1"/>
    <col min="19" max="16384" width="11.5546875" style="79"/>
  </cols>
  <sheetData>
    <row r="1" spans="1:18" ht="15.6">
      <c r="A1" s="177" t="s">
        <v>437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outlineLevel="1">
      <c r="A2" s="80"/>
      <c r="B2" s="93" t="s">
        <v>166</v>
      </c>
      <c r="C2" s="178" t="str">
        <f>A3</f>
        <v>Equipe 1</v>
      </c>
      <c r="D2" s="178"/>
      <c r="E2" s="178" t="str">
        <f>A4</f>
        <v>Equipe 2</v>
      </c>
      <c r="F2" s="178"/>
      <c r="G2" s="178" t="str">
        <f>A5</f>
        <v>Equipe 3</v>
      </c>
      <c r="H2" s="178"/>
      <c r="I2" s="178" t="str">
        <f>A6</f>
        <v>Equipe 4</v>
      </c>
      <c r="J2" s="178"/>
      <c r="K2" s="178" t="str">
        <f>A7</f>
        <v>Equipe 5</v>
      </c>
      <c r="L2" s="178"/>
      <c r="M2" s="178" t="str">
        <f>A8</f>
        <v>Equipe 6</v>
      </c>
      <c r="N2" s="178"/>
      <c r="O2" s="178" t="str">
        <f>A9</f>
        <v>Equipe 7</v>
      </c>
      <c r="P2" s="178"/>
      <c r="Q2" s="81" t="s">
        <v>167</v>
      </c>
      <c r="R2" s="82" t="s">
        <v>168</v>
      </c>
    </row>
    <row r="3" spans="1:18" outlineLevel="1">
      <c r="A3" s="92" t="str">
        <f>'Planning à 7'!I15</f>
        <v>Equipe 1</v>
      </c>
      <c r="B3" s="94"/>
      <c r="C3" s="95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83">
        <f t="shared" ref="Q3:Q9" si="0">IF(C3&gt;D3,1,0)+IF(E3&gt;F3,1,0)+IF(G3&gt;H3,1,0)+IF(I3&gt;J3,1,0)+IF(K3&gt;L3,1,0)+IF(O3&gt;P3,1,0)+IF(M3&gt;N3,1,0)</f>
        <v>0</v>
      </c>
      <c r="R3" s="82">
        <f t="shared" ref="R3:R9" si="1">IF(C3&lt;D3,1,0)+IF(E3&lt;F3,1,0)+IF(G3&lt;H3,1,0)+IF(I3&lt;J3,1,0)+IF(K3&lt;L3,1,0)+IF(O3&lt;P3,1,0)+IF(M3&lt;N3,1,0)</f>
        <v>0</v>
      </c>
    </row>
    <row r="4" spans="1:18" outlineLevel="1">
      <c r="A4" s="92" t="str">
        <f>'Planning à 7'!I16</f>
        <v>Equipe 2</v>
      </c>
      <c r="B4" s="94"/>
      <c r="C4" s="97">
        <f>F3</f>
        <v>0</v>
      </c>
      <c r="D4" s="97">
        <f>E3</f>
        <v>0</v>
      </c>
      <c r="E4" s="95"/>
      <c r="F4" s="95"/>
      <c r="G4" s="96"/>
      <c r="H4" s="96"/>
      <c r="I4" s="96"/>
      <c r="J4" s="96"/>
      <c r="K4" s="96"/>
      <c r="L4" s="96"/>
      <c r="M4" s="96"/>
      <c r="N4" s="96"/>
      <c r="O4" s="96"/>
      <c r="P4" s="96"/>
      <c r="Q4" s="83">
        <f t="shared" si="0"/>
        <v>0</v>
      </c>
      <c r="R4" s="82">
        <f t="shared" si="1"/>
        <v>0</v>
      </c>
    </row>
    <row r="5" spans="1:18" outlineLevel="1">
      <c r="A5" s="92" t="str">
        <f>'Planning à 7'!I17</f>
        <v>Equipe 3</v>
      </c>
      <c r="B5" s="94"/>
      <c r="C5" s="97">
        <f>H3</f>
        <v>0</v>
      </c>
      <c r="D5" s="97">
        <f>G3</f>
        <v>0</v>
      </c>
      <c r="E5" s="97">
        <f>H4</f>
        <v>0</v>
      </c>
      <c r="F5" s="97">
        <f>G4</f>
        <v>0</v>
      </c>
      <c r="G5" s="95"/>
      <c r="H5" s="95"/>
      <c r="I5" s="96"/>
      <c r="J5" s="96"/>
      <c r="K5" s="96"/>
      <c r="L5" s="96"/>
      <c r="M5" s="96"/>
      <c r="N5" s="96"/>
      <c r="O5" s="96"/>
      <c r="P5" s="96"/>
      <c r="Q5" s="83">
        <f t="shared" si="0"/>
        <v>0</v>
      </c>
      <c r="R5" s="82">
        <f t="shared" si="1"/>
        <v>0</v>
      </c>
    </row>
    <row r="6" spans="1:18" outlineLevel="1">
      <c r="A6" s="92" t="str">
        <f>'Planning à 7'!I18</f>
        <v>Equipe 4</v>
      </c>
      <c r="B6" s="94"/>
      <c r="C6" s="97">
        <f>J3</f>
        <v>0</v>
      </c>
      <c r="D6" s="97">
        <f>I3</f>
        <v>0</v>
      </c>
      <c r="E6" s="97">
        <f>J4</f>
        <v>0</v>
      </c>
      <c r="F6" s="97">
        <f>I4</f>
        <v>0</v>
      </c>
      <c r="G6" s="97">
        <f>J5</f>
        <v>0</v>
      </c>
      <c r="H6" s="97">
        <f>I5</f>
        <v>0</v>
      </c>
      <c r="I6" s="95"/>
      <c r="J6" s="95"/>
      <c r="K6" s="96"/>
      <c r="L6" s="96"/>
      <c r="M6" s="96"/>
      <c r="N6" s="96"/>
      <c r="O6" s="96"/>
      <c r="P6" s="96"/>
      <c r="Q6" s="83">
        <f t="shared" si="0"/>
        <v>0</v>
      </c>
      <c r="R6" s="82">
        <f t="shared" si="1"/>
        <v>0</v>
      </c>
    </row>
    <row r="7" spans="1:18" outlineLevel="1">
      <c r="A7" s="92" t="str">
        <f>'Planning à 7'!I19</f>
        <v>Equipe 5</v>
      </c>
      <c r="B7" s="94"/>
      <c r="C7" s="98">
        <f>L3</f>
        <v>0</v>
      </c>
      <c r="D7" s="98">
        <f>K3</f>
        <v>0</v>
      </c>
      <c r="E7" s="97">
        <f>L4</f>
        <v>0</v>
      </c>
      <c r="F7" s="97">
        <f>K4</f>
        <v>0</v>
      </c>
      <c r="G7" s="98">
        <f>L5</f>
        <v>0</v>
      </c>
      <c r="H7" s="98">
        <f>K5</f>
        <v>0</v>
      </c>
      <c r="I7" s="97">
        <f>L6</f>
        <v>0</v>
      </c>
      <c r="J7" s="97">
        <f>K6</f>
        <v>0</v>
      </c>
      <c r="K7" s="99"/>
      <c r="L7" s="99"/>
      <c r="M7" s="96"/>
      <c r="N7" s="96"/>
      <c r="O7" s="94"/>
      <c r="P7" s="94"/>
      <c r="Q7" s="83">
        <f t="shared" si="0"/>
        <v>0</v>
      </c>
      <c r="R7" s="82">
        <f t="shared" si="1"/>
        <v>0</v>
      </c>
    </row>
    <row r="8" spans="1:18" outlineLevel="1">
      <c r="A8" s="92" t="str">
        <f>'Planning à 7'!I20</f>
        <v>Equipe 6</v>
      </c>
      <c r="B8" s="94"/>
      <c r="C8" s="98">
        <f>N3</f>
        <v>0</v>
      </c>
      <c r="D8" s="98">
        <f>M3</f>
        <v>0</v>
      </c>
      <c r="E8" s="97">
        <f>N4</f>
        <v>0</v>
      </c>
      <c r="F8" s="97">
        <f>M4</f>
        <v>0</v>
      </c>
      <c r="G8" s="98">
        <f>N5</f>
        <v>0</v>
      </c>
      <c r="H8" s="98">
        <f>M5</f>
        <v>0</v>
      </c>
      <c r="I8" s="97">
        <f>N6</f>
        <v>0</v>
      </c>
      <c r="J8" s="97">
        <f>M6</f>
        <v>0</v>
      </c>
      <c r="K8" s="97">
        <f>N7</f>
        <v>0</v>
      </c>
      <c r="L8" s="97">
        <f>M7</f>
        <v>0</v>
      </c>
      <c r="M8" s="99"/>
      <c r="N8" s="99"/>
      <c r="O8" s="94"/>
      <c r="P8" s="94"/>
      <c r="Q8" s="83">
        <f t="shared" si="0"/>
        <v>0</v>
      </c>
      <c r="R8" s="82">
        <f t="shared" si="1"/>
        <v>0</v>
      </c>
    </row>
    <row r="9" spans="1:18" outlineLevel="1">
      <c r="A9" s="92" t="str">
        <f>'Planning à 7'!I21</f>
        <v>Equipe 7</v>
      </c>
      <c r="B9" s="94"/>
      <c r="C9" s="97">
        <f>P3</f>
        <v>0</v>
      </c>
      <c r="D9" s="97">
        <f>O3</f>
        <v>0</v>
      </c>
      <c r="E9" s="97">
        <f>P4</f>
        <v>0</v>
      </c>
      <c r="F9" s="97">
        <f>O4</f>
        <v>0</v>
      </c>
      <c r="G9" s="97">
        <f>P5</f>
        <v>0</v>
      </c>
      <c r="H9" s="97">
        <f>O5</f>
        <v>0</v>
      </c>
      <c r="I9" s="97">
        <f>P6</f>
        <v>0</v>
      </c>
      <c r="J9" s="97">
        <f>O6</f>
        <v>0</v>
      </c>
      <c r="K9" s="97">
        <f>P7</f>
        <v>0</v>
      </c>
      <c r="L9" s="97">
        <f>O7</f>
        <v>0</v>
      </c>
      <c r="M9" s="97">
        <f>P8</f>
        <v>0</v>
      </c>
      <c r="N9" s="97">
        <f>O8</f>
        <v>0</v>
      </c>
      <c r="O9" s="95"/>
      <c r="P9" s="95"/>
      <c r="Q9" s="83">
        <f t="shared" si="0"/>
        <v>0</v>
      </c>
      <c r="R9" s="82">
        <f t="shared" si="1"/>
        <v>0</v>
      </c>
    </row>
    <row r="10" spans="1:18" outlineLevel="1">
      <c r="A10" s="84"/>
      <c r="B10" s="80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  <c r="R10" s="78"/>
    </row>
    <row r="11" spans="1:18" outlineLevel="1">
      <c r="A11" s="80"/>
      <c r="B11" s="100" t="s">
        <v>169</v>
      </c>
      <c r="C11" s="101" t="s">
        <v>170</v>
      </c>
      <c r="D11" s="101" t="s">
        <v>171</v>
      </c>
      <c r="E11" s="102" t="s">
        <v>172</v>
      </c>
      <c r="F11" s="103" t="s">
        <v>173</v>
      </c>
      <c r="G11" s="77"/>
      <c r="H11" s="91"/>
      <c r="I11" s="178" t="s">
        <v>174</v>
      </c>
      <c r="J11" s="178"/>
      <c r="K11" s="77"/>
      <c r="L11" s="77"/>
      <c r="M11" s="77"/>
      <c r="N11" s="77"/>
      <c r="O11" s="77"/>
      <c r="P11" s="77"/>
      <c r="Q11" s="78"/>
      <c r="R11" s="78"/>
    </row>
    <row r="12" spans="1:18" outlineLevel="1">
      <c r="A12" s="92" t="str">
        <f t="shared" ref="A12:A18" si="2">A3</f>
        <v>Equipe 1</v>
      </c>
      <c r="B12" s="100">
        <f t="shared" ref="B12:B18" si="3">IF(B3="A",0, IF(B3="F", (Q3*2+R3*1),(Q3*3+R3*2)))</f>
        <v>0</v>
      </c>
      <c r="C12" s="104">
        <f t="shared" ref="C12:D18" si="4">C3+E3+G3+I3+K3+M3+O3</f>
        <v>0</v>
      </c>
      <c r="D12" s="104">
        <f t="shared" si="4"/>
        <v>0</v>
      </c>
      <c r="E12" s="98">
        <f t="shared" ref="E12:E18" si="5">C12-D12</f>
        <v>0</v>
      </c>
      <c r="F12" s="103">
        <f t="shared" ref="F12:F18" si="6">RANK(G12,G$12:G$18)</f>
        <v>1</v>
      </c>
      <c r="G12" s="85">
        <f t="shared" ref="G12:G18" si="7">B12+E12/1000</f>
        <v>0</v>
      </c>
      <c r="H12" s="105">
        <v>1</v>
      </c>
      <c r="I12" s="175" t="str">
        <f t="shared" ref="I12:I18" si="8">IF(F$12=H12,A$12,IF(F$13=H12,A$13,IF(F$14=H12,A$14,IF(F$15=H12,A$15,IF(F$16=H12,A$16,IF(F$17=H12,A$17,A$18))))))</f>
        <v>Equipe 1</v>
      </c>
      <c r="J12" s="175"/>
      <c r="K12" s="77"/>
      <c r="L12" s="77"/>
      <c r="M12" s="77"/>
      <c r="N12" s="77"/>
      <c r="O12" s="77"/>
      <c r="P12" s="77"/>
      <c r="Q12" s="78"/>
      <c r="R12" s="78"/>
    </row>
    <row r="13" spans="1:18" outlineLevel="1">
      <c r="A13" s="92" t="str">
        <f t="shared" si="2"/>
        <v>Equipe 2</v>
      </c>
      <c r="B13" s="100">
        <f t="shared" si="3"/>
        <v>0</v>
      </c>
      <c r="C13" s="104">
        <f t="shared" si="4"/>
        <v>0</v>
      </c>
      <c r="D13" s="104">
        <f t="shared" si="4"/>
        <v>0</v>
      </c>
      <c r="E13" s="98">
        <f t="shared" si="5"/>
        <v>0</v>
      </c>
      <c r="F13" s="103">
        <f t="shared" si="6"/>
        <v>1</v>
      </c>
      <c r="G13" s="85">
        <f t="shared" si="7"/>
        <v>0</v>
      </c>
      <c r="H13" s="105">
        <v>2</v>
      </c>
      <c r="I13" s="175" t="str">
        <f t="shared" si="8"/>
        <v>Equipe 7</v>
      </c>
      <c r="J13" s="175"/>
      <c r="K13" s="77"/>
      <c r="L13" s="77"/>
      <c r="M13" s="77"/>
      <c r="N13" s="77"/>
      <c r="O13" s="77"/>
      <c r="P13" s="77"/>
      <c r="Q13" s="78"/>
      <c r="R13" s="78"/>
    </row>
    <row r="14" spans="1:18" outlineLevel="1">
      <c r="A14" s="92" t="str">
        <f t="shared" si="2"/>
        <v>Equipe 3</v>
      </c>
      <c r="B14" s="100">
        <f t="shared" si="3"/>
        <v>0</v>
      </c>
      <c r="C14" s="104">
        <f t="shared" si="4"/>
        <v>0</v>
      </c>
      <c r="D14" s="104">
        <f t="shared" si="4"/>
        <v>0</v>
      </c>
      <c r="E14" s="98">
        <f t="shared" si="5"/>
        <v>0</v>
      </c>
      <c r="F14" s="103">
        <f t="shared" si="6"/>
        <v>1</v>
      </c>
      <c r="G14" s="85">
        <f t="shared" si="7"/>
        <v>0</v>
      </c>
      <c r="H14" s="105">
        <v>3</v>
      </c>
      <c r="I14" s="175" t="str">
        <f t="shared" si="8"/>
        <v>Equipe 7</v>
      </c>
      <c r="J14" s="175"/>
      <c r="K14" s="77"/>
      <c r="L14" s="77"/>
      <c r="M14" s="77"/>
      <c r="N14" s="77"/>
      <c r="O14" s="77"/>
      <c r="P14" s="77"/>
      <c r="Q14" s="78"/>
      <c r="R14" s="78"/>
    </row>
    <row r="15" spans="1:18" outlineLevel="1">
      <c r="A15" s="92" t="str">
        <f t="shared" si="2"/>
        <v>Equipe 4</v>
      </c>
      <c r="B15" s="100">
        <f t="shared" si="3"/>
        <v>0</v>
      </c>
      <c r="C15" s="104">
        <f t="shared" si="4"/>
        <v>0</v>
      </c>
      <c r="D15" s="104">
        <f t="shared" si="4"/>
        <v>0</v>
      </c>
      <c r="E15" s="98">
        <f t="shared" si="5"/>
        <v>0</v>
      </c>
      <c r="F15" s="103">
        <f t="shared" si="6"/>
        <v>1</v>
      </c>
      <c r="G15" s="85">
        <f t="shared" si="7"/>
        <v>0</v>
      </c>
      <c r="H15" s="105">
        <v>4</v>
      </c>
      <c r="I15" s="175" t="str">
        <f t="shared" si="8"/>
        <v>Equipe 7</v>
      </c>
      <c r="J15" s="175"/>
      <c r="K15" s="77"/>
      <c r="L15" s="77"/>
      <c r="M15" s="77"/>
      <c r="N15" s="77"/>
      <c r="O15" s="77"/>
      <c r="P15" s="77"/>
      <c r="Q15" s="78"/>
      <c r="R15" s="78"/>
    </row>
    <row r="16" spans="1:18" outlineLevel="1">
      <c r="A16" s="92" t="str">
        <f t="shared" si="2"/>
        <v>Equipe 5</v>
      </c>
      <c r="B16" s="100">
        <f t="shared" si="3"/>
        <v>0</v>
      </c>
      <c r="C16" s="104">
        <f t="shared" si="4"/>
        <v>0</v>
      </c>
      <c r="D16" s="104">
        <f t="shared" si="4"/>
        <v>0</v>
      </c>
      <c r="E16" s="98">
        <f t="shared" si="5"/>
        <v>0</v>
      </c>
      <c r="F16" s="103">
        <f t="shared" si="6"/>
        <v>1</v>
      </c>
      <c r="G16" s="85">
        <f t="shared" si="7"/>
        <v>0</v>
      </c>
      <c r="H16" s="105">
        <v>5</v>
      </c>
      <c r="I16" s="175" t="str">
        <f t="shared" si="8"/>
        <v>Equipe 7</v>
      </c>
      <c r="J16" s="175"/>
      <c r="K16" s="77"/>
      <c r="L16" s="77"/>
      <c r="M16" s="77"/>
      <c r="N16" s="77"/>
      <c r="O16" s="77"/>
      <c r="P16" s="77"/>
      <c r="Q16" s="78"/>
      <c r="R16" s="78"/>
    </row>
    <row r="17" spans="1:18" outlineLevel="1">
      <c r="A17" s="92" t="str">
        <f t="shared" si="2"/>
        <v>Equipe 6</v>
      </c>
      <c r="B17" s="100">
        <f t="shared" si="3"/>
        <v>0</v>
      </c>
      <c r="C17" s="104">
        <f t="shared" si="4"/>
        <v>0</v>
      </c>
      <c r="D17" s="104">
        <f t="shared" si="4"/>
        <v>0</v>
      </c>
      <c r="E17" s="98">
        <f t="shared" si="5"/>
        <v>0</v>
      </c>
      <c r="F17" s="103">
        <f t="shared" si="6"/>
        <v>1</v>
      </c>
      <c r="G17" s="85">
        <f t="shared" si="7"/>
        <v>0</v>
      </c>
      <c r="H17" s="105">
        <v>6</v>
      </c>
      <c r="I17" s="179" t="str">
        <f t="shared" si="8"/>
        <v>Equipe 7</v>
      </c>
      <c r="J17" s="179"/>
      <c r="K17" s="77"/>
      <c r="L17" s="77"/>
      <c r="M17" s="77"/>
      <c r="N17" s="77"/>
      <c r="O17" s="77"/>
      <c r="P17" s="77"/>
      <c r="Q17" s="78"/>
      <c r="R17" s="78"/>
    </row>
    <row r="18" spans="1:18" outlineLevel="1">
      <c r="A18" s="92" t="str">
        <f t="shared" si="2"/>
        <v>Equipe 7</v>
      </c>
      <c r="B18" s="100">
        <f t="shared" si="3"/>
        <v>0</v>
      </c>
      <c r="C18" s="104">
        <f t="shared" si="4"/>
        <v>0</v>
      </c>
      <c r="D18" s="104">
        <f t="shared" si="4"/>
        <v>0</v>
      </c>
      <c r="E18" s="98">
        <f t="shared" si="5"/>
        <v>0</v>
      </c>
      <c r="F18" s="103">
        <f t="shared" si="6"/>
        <v>1</v>
      </c>
      <c r="G18" s="85">
        <f t="shared" si="7"/>
        <v>0</v>
      </c>
      <c r="H18" s="105">
        <v>7</v>
      </c>
      <c r="I18" s="179" t="str">
        <f t="shared" si="8"/>
        <v>Equipe 7</v>
      </c>
      <c r="J18" s="179"/>
      <c r="K18" s="77"/>
      <c r="L18" s="77"/>
      <c r="M18" s="77"/>
      <c r="N18" s="77"/>
      <c r="O18" s="77"/>
      <c r="P18" s="77"/>
      <c r="Q18" s="78"/>
      <c r="R18" s="78"/>
    </row>
    <row r="19" spans="1:18" s="91" customFormat="1" outlineLevel="1">
      <c r="A19" s="86"/>
      <c r="B19" s="86"/>
      <c r="C19" s="87">
        <f>SUM(C12:C18)</f>
        <v>0</v>
      </c>
      <c r="D19" s="87">
        <f>SUM(D12:D18)</f>
        <v>0</v>
      </c>
      <c r="E19" s="88"/>
      <c r="F19" s="89"/>
      <c r="G19" s="77"/>
      <c r="H19" s="88"/>
      <c r="I19" s="90"/>
      <c r="J19" s="90"/>
      <c r="K19" s="77"/>
      <c r="L19" s="77"/>
      <c r="M19" s="77"/>
      <c r="N19" s="77"/>
      <c r="O19" s="77"/>
      <c r="P19" s="77"/>
      <c r="Q19" s="78"/>
      <c r="R19" s="78"/>
    </row>
    <row r="20" spans="1:18" ht="15.6">
      <c r="A20" s="177" t="s">
        <v>438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</row>
    <row r="21" spans="1:18" outlineLevel="1">
      <c r="A21" s="80"/>
      <c r="B21" s="93" t="s">
        <v>166</v>
      </c>
      <c r="C21" s="178" t="str">
        <f>A22</f>
        <v>Equipe 1</v>
      </c>
      <c r="D21" s="178"/>
      <c r="E21" s="178" t="str">
        <f>A23</f>
        <v>Equipe 2</v>
      </c>
      <c r="F21" s="178"/>
      <c r="G21" s="178" t="str">
        <f>A24</f>
        <v>Equipe 3</v>
      </c>
      <c r="H21" s="178"/>
      <c r="I21" s="178" t="str">
        <f>A25</f>
        <v>Equipe 4</v>
      </c>
      <c r="J21" s="178"/>
      <c r="K21" s="178" t="str">
        <f>A26</f>
        <v>Equipe 5</v>
      </c>
      <c r="L21" s="178"/>
      <c r="M21" s="178" t="str">
        <f>A27</f>
        <v>Equipe 6</v>
      </c>
      <c r="N21" s="178"/>
      <c r="O21" s="178" t="str">
        <f>A28</f>
        <v>Equipe 7</v>
      </c>
      <c r="P21" s="178"/>
      <c r="Q21" s="81" t="s">
        <v>167</v>
      </c>
      <c r="R21" s="82" t="s">
        <v>168</v>
      </c>
    </row>
    <row r="22" spans="1:18" outlineLevel="1">
      <c r="A22" s="92" t="str">
        <f t="shared" ref="A22:A28" si="9">A3</f>
        <v>Equipe 1</v>
      </c>
      <c r="B22" s="94"/>
      <c r="C22" s="95"/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3">
        <f t="shared" ref="Q22:Q28" si="10">IF(C22&gt;D22,1,0)+IF(E22&gt;F22,1,0)+IF(G22&gt;H22,1,0)+IF(I22&gt;J22,1,0)+IF(K22&gt;L22,1,0)+IF(O22&gt;P22,1,0)+IF(M22&gt;N22,1,0)</f>
        <v>0</v>
      </c>
      <c r="R22" s="82">
        <f t="shared" ref="R22:R28" si="11">IF(C22&lt;D22,1,0)+IF(E22&lt;F22,1,0)+IF(G22&lt;H22,1,0)+IF(I22&lt;J22,1,0)+IF(K22&lt;L22,1,0)+IF(O22&lt;P22,1,0)+IF(M22&lt;N22,1,0)</f>
        <v>0</v>
      </c>
    </row>
    <row r="23" spans="1:18" outlineLevel="1">
      <c r="A23" s="92" t="str">
        <f t="shared" si="9"/>
        <v>Equipe 2</v>
      </c>
      <c r="B23" s="94"/>
      <c r="C23" s="97">
        <f>F22</f>
        <v>0</v>
      </c>
      <c r="D23" s="97">
        <f>E22</f>
        <v>0</v>
      </c>
      <c r="E23" s="95"/>
      <c r="F23" s="95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83">
        <f t="shared" si="10"/>
        <v>0</v>
      </c>
      <c r="R23" s="82">
        <f t="shared" si="11"/>
        <v>0</v>
      </c>
    </row>
    <row r="24" spans="1:18" outlineLevel="1">
      <c r="A24" s="92" t="str">
        <f t="shared" si="9"/>
        <v>Equipe 3</v>
      </c>
      <c r="B24" s="94"/>
      <c r="C24" s="97">
        <f>H22</f>
        <v>0</v>
      </c>
      <c r="D24" s="97">
        <f>G22</f>
        <v>0</v>
      </c>
      <c r="E24" s="97">
        <f>H23</f>
        <v>0</v>
      </c>
      <c r="F24" s="97">
        <f>G23</f>
        <v>0</v>
      </c>
      <c r="G24" s="95"/>
      <c r="H24" s="95"/>
      <c r="I24" s="96"/>
      <c r="J24" s="96"/>
      <c r="K24" s="96"/>
      <c r="L24" s="96"/>
      <c r="M24" s="96"/>
      <c r="N24" s="96"/>
      <c r="O24" s="96"/>
      <c r="P24" s="96"/>
      <c r="Q24" s="83">
        <f t="shared" si="10"/>
        <v>0</v>
      </c>
      <c r="R24" s="82">
        <f t="shared" si="11"/>
        <v>0</v>
      </c>
    </row>
    <row r="25" spans="1:18" outlineLevel="1">
      <c r="A25" s="92" t="str">
        <f t="shared" si="9"/>
        <v>Equipe 4</v>
      </c>
      <c r="B25" s="94"/>
      <c r="C25" s="97">
        <f>J22</f>
        <v>0</v>
      </c>
      <c r="D25" s="97">
        <f>I22</f>
        <v>0</v>
      </c>
      <c r="E25" s="97">
        <f>J23</f>
        <v>0</v>
      </c>
      <c r="F25" s="97">
        <f>I23</f>
        <v>0</v>
      </c>
      <c r="G25" s="97">
        <f>J24</f>
        <v>0</v>
      </c>
      <c r="H25" s="97">
        <f>I24</f>
        <v>0</v>
      </c>
      <c r="I25" s="95"/>
      <c r="J25" s="95"/>
      <c r="K25" s="96"/>
      <c r="L25" s="96"/>
      <c r="M25" s="96"/>
      <c r="N25" s="96"/>
      <c r="O25" s="96"/>
      <c r="P25" s="96"/>
      <c r="Q25" s="83">
        <f t="shared" si="10"/>
        <v>0</v>
      </c>
      <c r="R25" s="82">
        <f t="shared" si="11"/>
        <v>0</v>
      </c>
    </row>
    <row r="26" spans="1:18" outlineLevel="1">
      <c r="A26" s="92" t="str">
        <f t="shared" si="9"/>
        <v>Equipe 5</v>
      </c>
      <c r="B26" s="94"/>
      <c r="C26" s="98">
        <f>L22</f>
        <v>0</v>
      </c>
      <c r="D26" s="98">
        <f>K22</f>
        <v>0</v>
      </c>
      <c r="E26" s="97">
        <f>L23</f>
        <v>0</v>
      </c>
      <c r="F26" s="97">
        <f>K23</f>
        <v>0</v>
      </c>
      <c r="G26" s="98">
        <f>L24</f>
        <v>0</v>
      </c>
      <c r="H26" s="98">
        <f>K24</f>
        <v>0</v>
      </c>
      <c r="I26" s="97">
        <f>L25</f>
        <v>0</v>
      </c>
      <c r="J26" s="97">
        <f>K25</f>
        <v>0</v>
      </c>
      <c r="K26" s="99"/>
      <c r="L26" s="99"/>
      <c r="M26" s="96"/>
      <c r="N26" s="96"/>
      <c r="O26" s="94"/>
      <c r="P26" s="94"/>
      <c r="Q26" s="83">
        <f t="shared" si="10"/>
        <v>0</v>
      </c>
      <c r="R26" s="82">
        <f t="shared" si="11"/>
        <v>0</v>
      </c>
    </row>
    <row r="27" spans="1:18" outlineLevel="1">
      <c r="A27" s="92" t="str">
        <f t="shared" si="9"/>
        <v>Equipe 6</v>
      </c>
      <c r="B27" s="94"/>
      <c r="C27" s="98">
        <f>N22</f>
        <v>0</v>
      </c>
      <c r="D27" s="98">
        <f>M22</f>
        <v>0</v>
      </c>
      <c r="E27" s="97">
        <f>N23</f>
        <v>0</v>
      </c>
      <c r="F27" s="97">
        <f>M23</f>
        <v>0</v>
      </c>
      <c r="G27" s="98">
        <f>N24</f>
        <v>0</v>
      </c>
      <c r="H27" s="98">
        <f>M24</f>
        <v>0</v>
      </c>
      <c r="I27" s="97">
        <f>N25</f>
        <v>0</v>
      </c>
      <c r="J27" s="97">
        <f>M25</f>
        <v>0</v>
      </c>
      <c r="K27" s="97">
        <f>N26</f>
        <v>0</v>
      </c>
      <c r="L27" s="97">
        <f>M26</f>
        <v>0</v>
      </c>
      <c r="M27" s="99"/>
      <c r="N27" s="99"/>
      <c r="O27" s="94"/>
      <c r="P27" s="94"/>
      <c r="Q27" s="83">
        <f t="shared" si="10"/>
        <v>0</v>
      </c>
      <c r="R27" s="82">
        <f t="shared" si="11"/>
        <v>0</v>
      </c>
    </row>
    <row r="28" spans="1:18" outlineLevel="1">
      <c r="A28" s="92" t="str">
        <f t="shared" si="9"/>
        <v>Equipe 7</v>
      </c>
      <c r="B28" s="94"/>
      <c r="C28" s="97">
        <f>P22</f>
        <v>0</v>
      </c>
      <c r="D28" s="97">
        <f>O22</f>
        <v>0</v>
      </c>
      <c r="E28" s="97">
        <f>P23</f>
        <v>0</v>
      </c>
      <c r="F28" s="97">
        <f>O23</f>
        <v>0</v>
      </c>
      <c r="G28" s="97">
        <f>P24</f>
        <v>0</v>
      </c>
      <c r="H28" s="97">
        <f>O24</f>
        <v>0</v>
      </c>
      <c r="I28" s="97">
        <f>P25</f>
        <v>0</v>
      </c>
      <c r="J28" s="97">
        <f>O25</f>
        <v>0</v>
      </c>
      <c r="K28" s="97">
        <f>P26</f>
        <v>0</v>
      </c>
      <c r="L28" s="97">
        <f>O26</f>
        <v>0</v>
      </c>
      <c r="M28" s="97">
        <f>P27</f>
        <v>0</v>
      </c>
      <c r="N28" s="97">
        <f>O27</f>
        <v>0</v>
      </c>
      <c r="O28" s="95"/>
      <c r="P28" s="95"/>
      <c r="Q28" s="83">
        <f t="shared" si="10"/>
        <v>0</v>
      </c>
      <c r="R28" s="82">
        <f t="shared" si="11"/>
        <v>0</v>
      </c>
    </row>
    <row r="29" spans="1:18" outlineLevel="1">
      <c r="A29" s="84"/>
      <c r="B29" s="80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78"/>
    </row>
    <row r="30" spans="1:18" outlineLevel="1">
      <c r="A30" s="80"/>
      <c r="B30" s="100" t="s">
        <v>169</v>
      </c>
      <c r="C30" s="101" t="s">
        <v>170</v>
      </c>
      <c r="D30" s="101" t="s">
        <v>171</v>
      </c>
      <c r="E30" s="102" t="s">
        <v>172</v>
      </c>
      <c r="F30" s="103" t="s">
        <v>173</v>
      </c>
      <c r="G30" s="77"/>
      <c r="H30" s="91"/>
      <c r="I30" s="178" t="s">
        <v>174</v>
      </c>
      <c r="J30" s="178"/>
      <c r="K30" s="77"/>
      <c r="L30" s="77"/>
      <c r="M30" s="77"/>
      <c r="N30" s="77"/>
      <c r="O30" s="77"/>
      <c r="P30" s="77"/>
      <c r="Q30" s="78"/>
      <c r="R30" s="78"/>
    </row>
    <row r="31" spans="1:18" outlineLevel="1">
      <c r="A31" s="92" t="str">
        <f t="shared" ref="A31:A37" si="12">A22</f>
        <v>Equipe 1</v>
      </c>
      <c r="B31" s="100">
        <f t="shared" ref="B31:B37" si="13">IF(B22="A",0, IF(B22="F", (Q22*2+R22*1),(Q22*3+R22*2)))+B12</f>
        <v>0</v>
      </c>
      <c r="C31" s="104">
        <f>C22+E22+G22+I22+K22+M22+O22</f>
        <v>0</v>
      </c>
      <c r="D31" s="104">
        <f t="shared" ref="C31:D37" si="14">D22+F22+H22+J22+L22+N22+P22</f>
        <v>0</v>
      </c>
      <c r="E31" s="98">
        <f t="shared" ref="E31:E37" si="15">C31-D31+E12</f>
        <v>0</v>
      </c>
      <c r="F31" s="103">
        <f>RANK(G31,G31:G37)</f>
        <v>1</v>
      </c>
      <c r="G31" s="85">
        <f t="shared" ref="G31:G37" si="16">B31+E31/1000</f>
        <v>0</v>
      </c>
      <c r="H31" s="105">
        <v>1</v>
      </c>
      <c r="I31" s="175" t="str">
        <f t="shared" ref="I31:I37" si="17">IF(F$31=H31,A$31,IF(F$32=H31,A$32,IF(F$33=H31,A$33,IF(F$34=H31,A$34,IF(F$35=H31,A$35,IF(F$36=H31,A$36,A$37))))))</f>
        <v>Equipe 1</v>
      </c>
      <c r="J31" s="175"/>
      <c r="K31" s="77"/>
      <c r="L31" s="77"/>
      <c r="M31" s="77"/>
      <c r="N31" s="77"/>
      <c r="O31" s="77"/>
      <c r="P31" s="77"/>
      <c r="Q31" s="78"/>
      <c r="R31" s="78"/>
    </row>
    <row r="32" spans="1:18" outlineLevel="1">
      <c r="A32" s="92" t="str">
        <f t="shared" si="12"/>
        <v>Equipe 2</v>
      </c>
      <c r="B32" s="100">
        <f t="shared" si="13"/>
        <v>0</v>
      </c>
      <c r="C32" s="104">
        <f t="shared" si="14"/>
        <v>0</v>
      </c>
      <c r="D32" s="104">
        <f t="shared" si="14"/>
        <v>0</v>
      </c>
      <c r="E32" s="98">
        <f t="shared" si="15"/>
        <v>0</v>
      </c>
      <c r="F32" s="103">
        <f>RANK(G32,G31:G37)</f>
        <v>1</v>
      </c>
      <c r="G32" s="85">
        <f t="shared" si="16"/>
        <v>0</v>
      </c>
      <c r="H32" s="105">
        <v>2</v>
      </c>
      <c r="I32" s="175" t="str">
        <f t="shared" si="17"/>
        <v>Equipe 7</v>
      </c>
      <c r="J32" s="175"/>
      <c r="K32" s="77"/>
      <c r="L32" s="77"/>
      <c r="M32" s="77"/>
      <c r="N32" s="77"/>
      <c r="O32" s="77"/>
      <c r="P32" s="77"/>
      <c r="Q32" s="78"/>
      <c r="R32" s="78"/>
    </row>
    <row r="33" spans="1:18" outlineLevel="1">
      <c r="A33" s="92" t="str">
        <f t="shared" si="12"/>
        <v>Equipe 3</v>
      </c>
      <c r="B33" s="100">
        <f t="shared" si="13"/>
        <v>0</v>
      </c>
      <c r="C33" s="104">
        <f t="shared" si="14"/>
        <v>0</v>
      </c>
      <c r="D33" s="104">
        <f t="shared" si="14"/>
        <v>0</v>
      </c>
      <c r="E33" s="98">
        <f t="shared" si="15"/>
        <v>0</v>
      </c>
      <c r="F33" s="103">
        <f>RANK(G33,G31:G37)</f>
        <v>1</v>
      </c>
      <c r="G33" s="85">
        <f t="shared" si="16"/>
        <v>0</v>
      </c>
      <c r="H33" s="105">
        <v>3</v>
      </c>
      <c r="I33" s="175" t="str">
        <f t="shared" si="17"/>
        <v>Equipe 7</v>
      </c>
      <c r="J33" s="175"/>
      <c r="K33" s="77"/>
      <c r="L33" s="77"/>
      <c r="M33" s="77"/>
      <c r="N33" s="77"/>
      <c r="O33" s="77"/>
      <c r="P33" s="77"/>
      <c r="Q33" s="78"/>
      <c r="R33" s="78"/>
    </row>
    <row r="34" spans="1:18" outlineLevel="1">
      <c r="A34" s="92" t="str">
        <f t="shared" si="12"/>
        <v>Equipe 4</v>
      </c>
      <c r="B34" s="100">
        <f t="shared" si="13"/>
        <v>0</v>
      </c>
      <c r="C34" s="104">
        <f t="shared" si="14"/>
        <v>0</v>
      </c>
      <c r="D34" s="104">
        <f t="shared" si="14"/>
        <v>0</v>
      </c>
      <c r="E34" s="98">
        <f t="shared" si="15"/>
        <v>0</v>
      </c>
      <c r="F34" s="103">
        <f>RANK(G34,G31:G37)</f>
        <v>1</v>
      </c>
      <c r="G34" s="85">
        <f t="shared" si="16"/>
        <v>0</v>
      </c>
      <c r="H34" s="105">
        <v>4</v>
      </c>
      <c r="I34" s="175" t="str">
        <f t="shared" si="17"/>
        <v>Equipe 7</v>
      </c>
      <c r="J34" s="175"/>
      <c r="K34" s="77"/>
      <c r="L34" s="77"/>
      <c r="M34" s="77"/>
      <c r="N34" s="77"/>
      <c r="O34" s="77"/>
      <c r="P34" s="77"/>
      <c r="Q34" s="78"/>
      <c r="R34" s="78"/>
    </row>
    <row r="35" spans="1:18" outlineLevel="1">
      <c r="A35" s="92" t="str">
        <f t="shared" si="12"/>
        <v>Equipe 5</v>
      </c>
      <c r="B35" s="100">
        <f t="shared" si="13"/>
        <v>0</v>
      </c>
      <c r="C35" s="104">
        <f t="shared" si="14"/>
        <v>0</v>
      </c>
      <c r="D35" s="104">
        <f t="shared" si="14"/>
        <v>0</v>
      </c>
      <c r="E35" s="98">
        <f t="shared" si="15"/>
        <v>0</v>
      </c>
      <c r="F35" s="103">
        <f>RANK(G35,G31:G37)</f>
        <v>1</v>
      </c>
      <c r="G35" s="85">
        <f t="shared" si="16"/>
        <v>0</v>
      </c>
      <c r="H35" s="105">
        <v>5</v>
      </c>
      <c r="I35" s="175" t="str">
        <f t="shared" si="17"/>
        <v>Equipe 7</v>
      </c>
      <c r="J35" s="175"/>
      <c r="K35" s="77"/>
      <c r="L35" s="77"/>
      <c r="M35" s="77"/>
      <c r="N35" s="77"/>
      <c r="O35" s="77"/>
      <c r="P35" s="77"/>
      <c r="Q35" s="78"/>
      <c r="R35" s="78"/>
    </row>
    <row r="36" spans="1:18" outlineLevel="1">
      <c r="A36" s="92" t="str">
        <f t="shared" si="12"/>
        <v>Equipe 6</v>
      </c>
      <c r="B36" s="100">
        <f t="shared" si="13"/>
        <v>0</v>
      </c>
      <c r="C36" s="104">
        <f t="shared" si="14"/>
        <v>0</v>
      </c>
      <c r="D36" s="104">
        <f t="shared" si="14"/>
        <v>0</v>
      </c>
      <c r="E36" s="98">
        <f t="shared" si="15"/>
        <v>0</v>
      </c>
      <c r="F36" s="103">
        <f>RANK(G36,G31:G37)</f>
        <v>1</v>
      </c>
      <c r="G36" s="85">
        <f t="shared" si="16"/>
        <v>0</v>
      </c>
      <c r="H36" s="105">
        <v>6</v>
      </c>
      <c r="I36" s="179" t="str">
        <f t="shared" si="17"/>
        <v>Equipe 7</v>
      </c>
      <c r="J36" s="179"/>
      <c r="K36" s="77"/>
      <c r="L36" s="77"/>
      <c r="M36" s="77"/>
      <c r="N36" s="77"/>
      <c r="O36" s="77"/>
      <c r="P36" s="77"/>
      <c r="Q36" s="78"/>
      <c r="R36" s="78"/>
    </row>
    <row r="37" spans="1:18" outlineLevel="1">
      <c r="A37" s="92" t="str">
        <f t="shared" si="12"/>
        <v>Equipe 7</v>
      </c>
      <c r="B37" s="100">
        <f t="shared" si="13"/>
        <v>0</v>
      </c>
      <c r="C37" s="104">
        <f t="shared" si="14"/>
        <v>0</v>
      </c>
      <c r="D37" s="104">
        <f t="shared" si="14"/>
        <v>0</v>
      </c>
      <c r="E37" s="98">
        <f t="shared" si="15"/>
        <v>0</v>
      </c>
      <c r="F37" s="103">
        <f>RANK(G37,G31:G37)</f>
        <v>1</v>
      </c>
      <c r="G37" s="85">
        <f t="shared" si="16"/>
        <v>0</v>
      </c>
      <c r="H37" s="105">
        <v>7</v>
      </c>
      <c r="I37" s="179" t="str">
        <f t="shared" si="17"/>
        <v>Equipe 7</v>
      </c>
      <c r="J37" s="179"/>
      <c r="K37" s="77"/>
      <c r="L37" s="77"/>
      <c r="M37" s="77"/>
      <c r="N37" s="77"/>
      <c r="O37" s="77"/>
      <c r="P37" s="77"/>
      <c r="Q37" s="78"/>
      <c r="R37" s="78"/>
    </row>
    <row r="38" spans="1:18" s="91" customFormat="1" outlineLevel="1">
      <c r="A38" s="86"/>
      <c r="B38" s="86"/>
      <c r="C38" s="87">
        <f>SUM(C31:C37)</f>
        <v>0</v>
      </c>
      <c r="D38" s="87">
        <f>SUM(D31:D37)</f>
        <v>0</v>
      </c>
      <c r="E38" s="88"/>
      <c r="F38" s="89"/>
      <c r="G38" s="77"/>
      <c r="H38" s="88"/>
      <c r="I38" s="90"/>
      <c r="J38" s="90"/>
      <c r="K38" s="77"/>
      <c r="L38" s="77"/>
      <c r="M38" s="77"/>
      <c r="N38" s="77"/>
      <c r="O38" s="77"/>
      <c r="P38" s="77"/>
      <c r="Q38" s="78"/>
      <c r="R38" s="78"/>
    </row>
  </sheetData>
  <mergeCells count="32">
    <mergeCell ref="I33:J33"/>
    <mergeCell ref="I34:J34"/>
    <mergeCell ref="I35:J35"/>
    <mergeCell ref="I36:J36"/>
    <mergeCell ref="I37:J37"/>
    <mergeCell ref="K21:L21"/>
    <mergeCell ref="M21:N21"/>
    <mergeCell ref="O21:P21"/>
    <mergeCell ref="I30:J30"/>
    <mergeCell ref="I31:J31"/>
    <mergeCell ref="I32:J32"/>
    <mergeCell ref="I16:J16"/>
    <mergeCell ref="I17:J17"/>
    <mergeCell ref="I18:J18"/>
    <mergeCell ref="C21:D21"/>
    <mergeCell ref="E21:F21"/>
    <mergeCell ref="G21:H21"/>
    <mergeCell ref="I21:J21"/>
    <mergeCell ref="A1:R1"/>
    <mergeCell ref="A20:R20"/>
    <mergeCell ref="I15:J15"/>
    <mergeCell ref="C2:D2"/>
    <mergeCell ref="E2:F2"/>
    <mergeCell ref="G2:H2"/>
    <mergeCell ref="I2:J2"/>
    <mergeCell ref="O2:P2"/>
    <mergeCell ref="I11:J11"/>
    <mergeCell ref="I12:J12"/>
    <mergeCell ref="I13:J13"/>
    <mergeCell ref="I14:J14"/>
    <mergeCell ref="K2:L2"/>
    <mergeCell ref="M2:N2"/>
  </mergeCells>
  <dataValidations count="1">
    <dataValidation type="list" allowBlank="1" showInputMessage="1" showErrorMessage="1" sqref="B3:B9 IW3:IW9 SS3:SS9 ACO3:ACO9 AMK3:AMK9 AWG3:AWG9 BGC3:BGC9 BPY3:BPY9 BZU3:BZU9 CJQ3:CJQ9 CTM3:CTM9 DDI3:DDI9 DNE3:DNE9 DXA3:DXA9 EGW3:EGW9 EQS3:EQS9 FAO3:FAO9 FKK3:FKK9 FUG3:FUG9 GEC3:GEC9 GNY3:GNY9 GXU3:GXU9 HHQ3:HHQ9 HRM3:HRM9 IBI3:IBI9 ILE3:ILE9 IVA3:IVA9 JEW3:JEW9 JOS3:JOS9 JYO3:JYO9 KIK3:KIK9 KSG3:KSG9 LCC3:LCC9 LLY3:LLY9 LVU3:LVU9 MFQ3:MFQ9 MPM3:MPM9 MZI3:MZI9 NJE3:NJE9 NTA3:NTA9 OCW3:OCW9 OMS3:OMS9 OWO3:OWO9 PGK3:PGK9 PQG3:PQG9 QAC3:QAC9 QJY3:QJY9 QTU3:QTU9 RDQ3:RDQ9 RNM3:RNM9 RXI3:RXI9 SHE3:SHE9 SRA3:SRA9 TAW3:TAW9 TKS3:TKS9 TUO3:TUO9 UEK3:UEK9 UOG3:UOG9 UYC3:UYC9 VHY3:VHY9 VRU3:VRU9 WBQ3:WBQ9 WLM3:WLM9 WVI3:WVI9 B22:B28 IW22:IW28 SS22:SS28 ACO22:ACO28 AMK22:AMK28 AWG22:AWG28 BGC22:BGC28 BPY22:BPY28 BZU22:BZU28 CJQ22:CJQ28 CTM22:CTM28 DDI22:DDI28 DNE22:DNE28 DXA22:DXA28 EGW22:EGW28 EQS22:EQS28 FAO22:FAO28 FKK22:FKK28 FUG22:FUG28 GEC22:GEC28 GNY22:GNY28 GXU22:GXU28 HHQ22:HHQ28 HRM22:HRM28 IBI22:IBI28 ILE22:ILE28 IVA22:IVA28 JEW22:JEW28 JOS22:JOS28 JYO22:JYO28 KIK22:KIK28 KSG22:KSG28 LCC22:LCC28 LLY22:LLY28 LVU22:LVU28 MFQ22:MFQ28 MPM22:MPM28 MZI22:MZI28 NJE22:NJE28 NTA22:NTA28 OCW22:OCW28 OMS22:OMS28 OWO22:OWO28 PGK22:PGK28 PQG22:PQG28 QAC22:QAC28 QJY22:QJY28 QTU22:QTU28 RDQ22:RDQ28 RNM22:RNM28 RXI22:RXI28 SHE22:SHE28 SRA22:SRA28 TAW22:TAW28 TKS22:TKS28 TUO22:TUO28 UEK22:UEK28 UOG22:UOG28 UYC22:UYC28 VHY22:VHY28 VRU22:VRU28 WBQ22:WBQ28 WLM22:WLM28 WVI22:WVI28">
      <formula1>"A,F"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scaleWithDoc="0">
    <oddHeader>&amp;C&amp;G</oddHeader>
    <oddFooter>&amp;L&amp;"Open Sans,Normal"&amp;8© 2017 - Ligue Flying Disc&amp;R&amp;"Open Sans,Normal"&amp;8&amp;D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6"/>
  <sheetViews>
    <sheetView view="pageBreakPreview" topLeftCell="A93" zoomScaleNormal="100" workbookViewId="0">
      <selection activeCell="C108" sqref="A1:XFD1048576"/>
    </sheetView>
  </sheetViews>
  <sheetFormatPr baseColWidth="10" defaultRowHeight="15"/>
  <cols>
    <col min="1" max="1" width="7.44140625" style="196" bestFit="1" customWidth="1"/>
    <col min="2" max="2" width="20.6640625" style="196" bestFit="1" customWidth="1"/>
    <col min="3" max="3" width="17.44140625" style="196" bestFit="1" customWidth="1"/>
    <col min="4" max="4" width="4.88671875" style="196" customWidth="1"/>
    <col min="5" max="5" width="6.109375" style="196" bestFit="1" customWidth="1"/>
    <col min="6" max="6" width="20.6640625" style="196" bestFit="1" customWidth="1"/>
    <col min="7" max="7" width="17.44140625" style="196" customWidth="1"/>
    <col min="8" max="8" width="6" style="196" customWidth="1"/>
    <col min="9" max="9" width="20.6640625" style="196" bestFit="1" customWidth="1"/>
    <col min="10" max="13" width="7.44140625" style="196" bestFit="1" customWidth="1"/>
    <col min="14" max="14" width="13.77734375" style="196" bestFit="1" customWidth="1"/>
    <col min="15" max="15" width="11.6640625" style="196" bestFit="1" customWidth="1"/>
    <col min="16" max="16384" width="11.5546875" style="196"/>
  </cols>
  <sheetData>
    <row r="1" spans="1:15" ht="30.15" customHeight="1">
      <c r="A1" s="194" t="s">
        <v>444</v>
      </c>
      <c r="B1" s="194"/>
      <c r="C1" s="194"/>
      <c r="D1" s="194"/>
      <c r="E1" s="194"/>
      <c r="F1" s="194"/>
      <c r="G1" s="194"/>
      <c r="H1" s="199"/>
      <c r="I1" s="199"/>
    </row>
    <row r="2" spans="1:15" ht="30.15" customHeight="1">
      <c r="A2" s="197" t="s">
        <v>426</v>
      </c>
      <c r="B2" s="197"/>
      <c r="C2" s="197"/>
      <c r="D2" s="197"/>
      <c r="E2" s="197"/>
      <c r="F2" s="197"/>
      <c r="G2" s="197"/>
      <c r="H2" s="199"/>
      <c r="I2" s="199"/>
    </row>
    <row r="3" spans="1:15" ht="30.15" customHeight="1">
      <c r="A3" s="197" t="s">
        <v>427</v>
      </c>
      <c r="B3" s="197"/>
      <c r="C3" s="197"/>
      <c r="D3" s="197"/>
      <c r="E3" s="197"/>
      <c r="F3" s="197"/>
      <c r="G3" s="197"/>
      <c r="H3" s="199"/>
      <c r="I3" s="199"/>
    </row>
    <row r="4" spans="1:15" ht="30.15" customHeight="1">
      <c r="A4" s="197" t="s">
        <v>428</v>
      </c>
      <c r="B4" s="197"/>
      <c r="C4" s="197"/>
      <c r="D4" s="197"/>
      <c r="E4" s="197"/>
      <c r="F4" s="197"/>
      <c r="G4" s="197"/>
      <c r="H4" s="199"/>
      <c r="I4" s="199"/>
    </row>
    <row r="5" spans="1:15" ht="17.399999999999999">
      <c r="A5" s="322" t="s">
        <v>185</v>
      </c>
      <c r="B5" s="322"/>
      <c r="C5" s="322"/>
      <c r="D5" s="198"/>
      <c r="E5" s="322" t="s">
        <v>186</v>
      </c>
      <c r="F5" s="322"/>
      <c r="G5" s="322"/>
      <c r="H5" s="199"/>
      <c r="I5" s="199"/>
    </row>
    <row r="6" spans="1:15" ht="17.399999999999999">
      <c r="A6" s="323" t="e">
        <f>I15&amp;" ("&amp;N15&amp;")"</f>
        <v>#N/A</v>
      </c>
      <c r="B6" s="323"/>
      <c r="C6" s="323"/>
      <c r="D6" s="198"/>
      <c r="E6" s="323" t="e">
        <f>I19&amp;" ("&amp;N19&amp;")"</f>
        <v>#N/A</v>
      </c>
      <c r="F6" s="323"/>
      <c r="G6" s="323"/>
      <c r="H6" s="199"/>
      <c r="I6" s="199"/>
    </row>
    <row r="7" spans="1:15" ht="17.399999999999999">
      <c r="A7" s="323" t="e">
        <f>I16&amp;" ("&amp;N16&amp;")"</f>
        <v>#N/A</v>
      </c>
      <c r="B7" s="323"/>
      <c r="C7" s="323"/>
      <c r="D7" s="198"/>
      <c r="E7" s="323" t="e">
        <f>I20&amp;" ("&amp;N20&amp;")"</f>
        <v>#N/A</v>
      </c>
      <c r="F7" s="323"/>
      <c r="G7" s="323"/>
      <c r="H7" s="199"/>
      <c r="I7" s="199"/>
    </row>
    <row r="8" spans="1:15" ht="17.399999999999999">
      <c r="A8" s="323" t="e">
        <f>I17&amp;" ("&amp;N17&amp;")"</f>
        <v>#N/A</v>
      </c>
      <c r="B8" s="323"/>
      <c r="C8" s="323"/>
      <c r="D8" s="198"/>
      <c r="E8" s="324" t="e">
        <f>I21&amp;" ("&amp;N21&amp;")"</f>
        <v>#N/A</v>
      </c>
      <c r="F8" s="324"/>
      <c r="G8" s="324"/>
      <c r="H8" s="199"/>
      <c r="I8" s="199"/>
    </row>
    <row r="9" spans="1:15" ht="17.399999999999999">
      <c r="A9" s="323" t="e">
        <f>I18&amp;" ("&amp;N18&amp;")"</f>
        <v>#N/A</v>
      </c>
      <c r="B9" s="323"/>
      <c r="C9" s="323"/>
      <c r="D9" s="198"/>
      <c r="E9" s="324" t="e">
        <f>I22&amp;" ("&amp;N22&amp;")"</f>
        <v>#N/A</v>
      </c>
      <c r="F9" s="324"/>
      <c r="G9" s="324"/>
      <c r="H9" s="199"/>
      <c r="I9" s="199"/>
    </row>
    <row r="10" spans="1:15" ht="17.399999999999999">
      <c r="A10" s="201"/>
      <c r="B10" s="201"/>
      <c r="C10" s="201"/>
      <c r="D10" s="201"/>
      <c r="E10" s="201"/>
      <c r="F10" s="201"/>
      <c r="G10" s="201"/>
      <c r="H10" s="199"/>
      <c r="I10" s="199"/>
    </row>
    <row r="11" spans="1:15" ht="15" customHeight="1">
      <c r="A11" s="325" t="s">
        <v>22</v>
      </c>
      <c r="B11" s="326"/>
      <c r="C11" s="327"/>
      <c r="D11" s="205"/>
      <c r="E11" s="325" t="s">
        <v>23</v>
      </c>
      <c r="F11" s="326"/>
      <c r="G11" s="327"/>
      <c r="H11" s="199"/>
      <c r="I11" s="199"/>
      <c r="J11" s="206"/>
    </row>
    <row r="12" spans="1:15">
      <c r="A12" s="205"/>
      <c r="B12" s="207"/>
      <c r="C12" s="207"/>
      <c r="D12" s="205"/>
      <c r="E12" s="205"/>
      <c r="F12" s="207"/>
      <c r="G12" s="207"/>
      <c r="H12" s="199"/>
      <c r="I12" s="199"/>
    </row>
    <row r="13" spans="1:15" ht="15" customHeight="1">
      <c r="A13" s="328" t="s">
        <v>37</v>
      </c>
      <c r="B13" s="325" t="s">
        <v>77</v>
      </c>
      <c r="C13" s="327"/>
      <c r="D13" s="199"/>
      <c r="E13" s="329" t="s">
        <v>157</v>
      </c>
      <c r="F13" s="330" t="str">
        <f>I16</f>
        <v>A2</v>
      </c>
      <c r="G13" s="331" t="s">
        <v>113</v>
      </c>
      <c r="H13" s="199"/>
      <c r="I13" s="199"/>
      <c r="J13" s="212"/>
    </row>
    <row r="14" spans="1:15" ht="15" customHeight="1">
      <c r="A14" s="205"/>
      <c r="B14" s="207"/>
      <c r="C14" s="207"/>
      <c r="D14" s="199"/>
      <c r="E14" s="332"/>
      <c r="F14" s="330" t="str">
        <f>I17</f>
        <v>A3</v>
      </c>
      <c r="G14" s="238" t="str">
        <f>I23</f>
        <v>Directeur de tournoi</v>
      </c>
      <c r="H14" s="199"/>
      <c r="J14" s="212"/>
    </row>
    <row r="15" spans="1:15" ht="15" customHeight="1">
      <c r="A15" s="333" t="s">
        <v>24</v>
      </c>
      <c r="B15" s="334" t="str">
        <f>I15</f>
        <v>A1</v>
      </c>
      <c r="C15" s="331" t="s">
        <v>113</v>
      </c>
      <c r="D15" s="199"/>
      <c r="E15" s="199"/>
      <c r="F15" s="215"/>
      <c r="G15" s="252"/>
      <c r="H15" s="199"/>
      <c r="I15" s="217" t="s">
        <v>250</v>
      </c>
      <c r="J15" s="218">
        <f>COUNTIF($B$15:$B$37,I15)+COUNTIF($F$13:$F$53,I15)</f>
        <v>3</v>
      </c>
      <c r="K15" s="218">
        <f>COUNTIF($B$15:$B$37,I15)</f>
        <v>2</v>
      </c>
      <c r="L15" s="218">
        <f>COUNTIF($F$13:$F$53,I15)</f>
        <v>1</v>
      </c>
      <c r="M15" s="218">
        <f>COUNTIF($C$15:$C$37,I15)+COUNTIF($G$13:$G$53,I15)</f>
        <v>1</v>
      </c>
      <c r="N15" s="241" t="e">
        <f>VLOOKUP(I15,'club-ville'!A:B,2,FALSE)</f>
        <v>#N/A</v>
      </c>
      <c r="O15" s="217"/>
    </row>
    <row r="16" spans="1:15" ht="15" customHeight="1">
      <c r="A16" s="213"/>
      <c r="B16" s="334" t="str">
        <f>I16</f>
        <v>A2</v>
      </c>
      <c r="C16" s="238" t="str">
        <f>I23</f>
        <v>Directeur de tournoi</v>
      </c>
      <c r="D16" s="199"/>
      <c r="E16" s="329" t="s">
        <v>392</v>
      </c>
      <c r="F16" s="330" t="str">
        <f>I20</f>
        <v>B2</v>
      </c>
      <c r="G16" s="331" t="s">
        <v>113</v>
      </c>
      <c r="H16" s="199"/>
      <c r="I16" s="217" t="s">
        <v>251</v>
      </c>
      <c r="J16" s="218">
        <f t="shared" ref="J16:J22" si="0">COUNTIF($B$15:$B$37,I16)+COUNTIF($F$13:$F$53,I16)</f>
        <v>3</v>
      </c>
      <c r="K16" s="218">
        <f t="shared" ref="K16:K22" si="1">COUNTIF($B$15:$B$37,I16)</f>
        <v>2</v>
      </c>
      <c r="L16" s="218">
        <f t="shared" ref="L16:L22" si="2">COUNTIF($F$13:$F$53,I16)</f>
        <v>1</v>
      </c>
      <c r="M16" s="218">
        <f t="shared" ref="M16:M23" si="3">COUNTIF($C$15:$C$37,I16)+COUNTIF($G$13:$G$53,I16)</f>
        <v>1</v>
      </c>
      <c r="N16" s="241" t="e">
        <f>VLOOKUP(I16,'club-ville'!A:B,2,FALSE)</f>
        <v>#N/A</v>
      </c>
      <c r="O16" s="217"/>
    </row>
    <row r="17" spans="1:15" ht="15" customHeight="1">
      <c r="A17" s="199"/>
      <c r="B17" s="215"/>
      <c r="C17" s="255"/>
      <c r="D17" s="219"/>
      <c r="E17" s="332"/>
      <c r="F17" s="330" t="str">
        <f>I21</f>
        <v>B3</v>
      </c>
      <c r="G17" s="238" t="str">
        <f>I22</f>
        <v>B4</v>
      </c>
      <c r="H17" s="199"/>
      <c r="I17" s="217" t="s">
        <v>252</v>
      </c>
      <c r="J17" s="218">
        <f t="shared" si="0"/>
        <v>3</v>
      </c>
      <c r="K17" s="218">
        <f t="shared" si="1"/>
        <v>2</v>
      </c>
      <c r="L17" s="218">
        <f t="shared" si="2"/>
        <v>1</v>
      </c>
      <c r="M17" s="218">
        <f t="shared" si="3"/>
        <v>1</v>
      </c>
      <c r="N17" s="241" t="e">
        <f>VLOOKUP(I17,'club-ville'!A:B,2,FALSE)</f>
        <v>#N/A</v>
      </c>
      <c r="O17" s="217"/>
    </row>
    <row r="18" spans="1:15" ht="15" customHeight="1">
      <c r="A18" s="333" t="s">
        <v>393</v>
      </c>
      <c r="B18" s="330" t="str">
        <f>I19</f>
        <v>B1</v>
      </c>
      <c r="C18" s="331" t="s">
        <v>113</v>
      </c>
      <c r="D18" s="199"/>
      <c r="E18" s="199"/>
      <c r="F18" s="215"/>
      <c r="G18" s="252"/>
      <c r="H18" s="199"/>
      <c r="I18" s="217" t="s">
        <v>253</v>
      </c>
      <c r="J18" s="218">
        <f t="shared" si="0"/>
        <v>3</v>
      </c>
      <c r="K18" s="218">
        <f t="shared" si="1"/>
        <v>2</v>
      </c>
      <c r="L18" s="218">
        <f t="shared" si="2"/>
        <v>1</v>
      </c>
      <c r="M18" s="218">
        <f t="shared" si="3"/>
        <v>1</v>
      </c>
      <c r="N18" s="241" t="e">
        <f>VLOOKUP(I18,'club-ville'!A:B,2,FALSE)</f>
        <v>#N/A</v>
      </c>
      <c r="O18" s="217"/>
    </row>
    <row r="19" spans="1:15" ht="15" customHeight="1">
      <c r="A19" s="213"/>
      <c r="B19" s="330" t="str">
        <f>I20</f>
        <v>B2</v>
      </c>
      <c r="C19" s="238" t="str">
        <f>I21</f>
        <v>B3</v>
      </c>
      <c r="D19" s="199"/>
      <c r="E19" s="329" t="s">
        <v>394</v>
      </c>
      <c r="F19" s="330" t="str">
        <f>I15</f>
        <v>A1</v>
      </c>
      <c r="G19" s="331" t="s">
        <v>113</v>
      </c>
      <c r="H19" s="199"/>
      <c r="I19" s="217" t="s">
        <v>259</v>
      </c>
      <c r="J19" s="218">
        <f t="shared" si="0"/>
        <v>3</v>
      </c>
      <c r="K19" s="218">
        <f t="shared" si="1"/>
        <v>2</v>
      </c>
      <c r="L19" s="218">
        <f t="shared" si="2"/>
        <v>1</v>
      </c>
      <c r="M19" s="218">
        <f t="shared" si="3"/>
        <v>1</v>
      </c>
      <c r="N19" s="241" t="e">
        <f>VLOOKUP(I19,'club-ville'!A:B,2,FALSE)</f>
        <v>#N/A</v>
      </c>
      <c r="O19" s="217"/>
    </row>
    <row r="20" spans="1:15" ht="15" customHeight="1">
      <c r="A20" s="199"/>
      <c r="B20" s="215"/>
      <c r="C20" s="252"/>
      <c r="D20" s="219"/>
      <c r="E20" s="332"/>
      <c r="F20" s="330" t="str">
        <f>I18</f>
        <v>A4</v>
      </c>
      <c r="G20" s="238" t="str">
        <f>I16</f>
        <v>A2</v>
      </c>
      <c r="H20" s="199"/>
      <c r="I20" s="217" t="s">
        <v>260</v>
      </c>
      <c r="J20" s="218">
        <f t="shared" si="0"/>
        <v>3</v>
      </c>
      <c r="K20" s="218">
        <f t="shared" si="1"/>
        <v>2</v>
      </c>
      <c r="L20" s="218">
        <f t="shared" si="2"/>
        <v>1</v>
      </c>
      <c r="M20" s="218">
        <f t="shared" si="3"/>
        <v>1</v>
      </c>
      <c r="N20" s="241" t="e">
        <f>VLOOKUP(I20,'club-ville'!A:B,2,FALSE)</f>
        <v>#N/A</v>
      </c>
      <c r="O20" s="217"/>
    </row>
    <row r="21" spans="1:15" ht="15" customHeight="1">
      <c r="A21" s="333" t="s">
        <v>395</v>
      </c>
      <c r="B21" s="330" t="str">
        <f>I17</f>
        <v>A3</v>
      </c>
      <c r="C21" s="331" t="s">
        <v>113</v>
      </c>
      <c r="D21" s="199"/>
      <c r="E21" s="199"/>
      <c r="F21" s="215"/>
      <c r="G21" s="252"/>
      <c r="H21" s="199"/>
      <c r="I21" s="217" t="s">
        <v>261</v>
      </c>
      <c r="J21" s="218">
        <f t="shared" si="0"/>
        <v>3</v>
      </c>
      <c r="K21" s="218">
        <f t="shared" si="1"/>
        <v>2</v>
      </c>
      <c r="L21" s="218">
        <f t="shared" si="2"/>
        <v>1</v>
      </c>
      <c r="M21" s="218">
        <f t="shared" si="3"/>
        <v>2</v>
      </c>
      <c r="N21" s="241" t="e">
        <f>VLOOKUP(I21,'club-ville'!A:B,2,FALSE)</f>
        <v>#N/A</v>
      </c>
      <c r="O21" s="217"/>
    </row>
    <row r="22" spans="1:15" ht="15" customHeight="1">
      <c r="A22" s="213"/>
      <c r="B22" s="330" t="str">
        <f>I18</f>
        <v>A4</v>
      </c>
      <c r="C22" s="238" t="str">
        <f>I15</f>
        <v>A1</v>
      </c>
      <c r="D22" s="199"/>
      <c r="E22" s="329" t="s">
        <v>396</v>
      </c>
      <c r="F22" s="330" t="str">
        <f>I19</f>
        <v>B1</v>
      </c>
      <c r="G22" s="331" t="s">
        <v>113</v>
      </c>
      <c r="H22" s="199"/>
      <c r="I22" s="217" t="s">
        <v>262</v>
      </c>
      <c r="J22" s="218">
        <f t="shared" si="0"/>
        <v>3</v>
      </c>
      <c r="K22" s="218">
        <f t="shared" si="1"/>
        <v>2</v>
      </c>
      <c r="L22" s="218">
        <f t="shared" si="2"/>
        <v>1</v>
      </c>
      <c r="M22" s="218">
        <f t="shared" si="3"/>
        <v>1</v>
      </c>
      <c r="N22" s="241" t="e">
        <f>VLOOKUP(I22,'club-ville'!A:B,2,FALSE)</f>
        <v>#N/A</v>
      </c>
      <c r="O22" s="217"/>
    </row>
    <row r="23" spans="1:15" ht="15" customHeight="1">
      <c r="A23" s="199"/>
      <c r="B23" s="215"/>
      <c r="C23" s="252"/>
      <c r="D23" s="219"/>
      <c r="E23" s="332"/>
      <c r="F23" s="330" t="str">
        <f>I22</f>
        <v>B4</v>
      </c>
      <c r="G23" s="238" t="str">
        <f>I21</f>
        <v>B3</v>
      </c>
      <c r="H23" s="199"/>
      <c r="I23" s="221" t="s">
        <v>30</v>
      </c>
      <c r="J23" s="218"/>
      <c r="K23" s="218"/>
      <c r="L23" s="218"/>
      <c r="M23" s="218">
        <f t="shared" si="3"/>
        <v>4</v>
      </c>
    </row>
    <row r="24" spans="1:15" ht="15" customHeight="1">
      <c r="A24" s="333" t="s">
        <v>153</v>
      </c>
      <c r="B24" s="330" t="str">
        <f>I21</f>
        <v>B3</v>
      </c>
      <c r="C24" s="331" t="s">
        <v>113</v>
      </c>
      <c r="D24" s="199"/>
      <c r="E24" s="199"/>
      <c r="F24" s="215"/>
      <c r="G24" s="252"/>
      <c r="H24" s="199"/>
      <c r="J24" s="212"/>
    </row>
    <row r="25" spans="1:15" ht="15" customHeight="1">
      <c r="A25" s="213"/>
      <c r="B25" s="330" t="str">
        <f>I22</f>
        <v>B4</v>
      </c>
      <c r="C25" s="238" t="str">
        <f>I19</f>
        <v>B1</v>
      </c>
      <c r="D25" s="199"/>
      <c r="E25" s="329" t="s">
        <v>202</v>
      </c>
      <c r="F25" s="330" t="str">
        <f>'Résultats à 4+4'!B32</f>
        <v>2e A</v>
      </c>
      <c r="G25" s="331" t="s">
        <v>113</v>
      </c>
      <c r="H25" s="199"/>
    </row>
    <row r="26" spans="1:15" ht="15" customHeight="1">
      <c r="A26" s="199"/>
      <c r="B26" s="215"/>
      <c r="C26" s="252"/>
      <c r="D26" s="219"/>
      <c r="E26" s="332"/>
      <c r="F26" s="330" t="str">
        <f>'Résultats à 4+4'!C32</f>
        <v>3e B</v>
      </c>
      <c r="G26" s="238" t="str">
        <f>F31</f>
        <v>1er A</v>
      </c>
      <c r="H26" s="199"/>
    </row>
    <row r="27" spans="1:15" ht="15" customHeight="1">
      <c r="A27" s="333" t="s">
        <v>397</v>
      </c>
      <c r="B27" s="330" t="str">
        <f>I15</f>
        <v>A1</v>
      </c>
      <c r="C27" s="331" t="s">
        <v>113</v>
      </c>
      <c r="D27" s="199"/>
      <c r="E27" s="199"/>
      <c r="F27" s="215"/>
      <c r="G27" s="252"/>
      <c r="H27" s="199"/>
      <c r="J27" s="219"/>
      <c r="K27" s="219"/>
    </row>
    <row r="28" spans="1:15" ht="15" customHeight="1">
      <c r="A28" s="213"/>
      <c r="B28" s="330" t="str">
        <f>I17</f>
        <v>A3</v>
      </c>
      <c r="C28" s="238" t="str">
        <f>I18</f>
        <v>A4</v>
      </c>
      <c r="D28" s="199"/>
      <c r="E28" s="329" t="s">
        <v>398</v>
      </c>
      <c r="F28" s="330" t="str">
        <f>'Résultats à 4+4'!D32</f>
        <v>2e B</v>
      </c>
      <c r="G28" s="331" t="s">
        <v>113</v>
      </c>
      <c r="H28" s="199"/>
      <c r="J28" s="219"/>
      <c r="K28" s="219"/>
    </row>
    <row r="29" spans="1:15" ht="15" customHeight="1">
      <c r="A29" s="199"/>
      <c r="B29" s="215"/>
      <c r="C29" s="252"/>
      <c r="D29" s="219"/>
      <c r="E29" s="332"/>
      <c r="F29" s="330" t="str">
        <f>'Résultats à 4+4'!E32</f>
        <v>3e A</v>
      </c>
      <c r="G29" s="238" t="str">
        <f>F35</f>
        <v>1er B</v>
      </c>
      <c r="H29" s="199"/>
      <c r="J29" s="219"/>
      <c r="K29" s="219"/>
    </row>
    <row r="30" spans="1:15" ht="15" customHeight="1">
      <c r="A30" s="333" t="s">
        <v>399</v>
      </c>
      <c r="B30" s="330" t="str">
        <f>I19</f>
        <v>B1</v>
      </c>
      <c r="C30" s="331" t="s">
        <v>113</v>
      </c>
      <c r="D30" s="199"/>
      <c r="E30" s="199"/>
      <c r="F30" s="215"/>
      <c r="G30" s="252"/>
      <c r="H30" s="199"/>
      <c r="J30" s="221"/>
      <c r="K30" s="221"/>
    </row>
    <row r="31" spans="1:15" ht="15" customHeight="1">
      <c r="A31" s="213"/>
      <c r="B31" s="330" t="str">
        <f>I21</f>
        <v>B3</v>
      </c>
      <c r="C31" s="257" t="str">
        <f>I20</f>
        <v>B2</v>
      </c>
      <c r="D31" s="199"/>
      <c r="E31" s="329" t="s">
        <v>208</v>
      </c>
      <c r="F31" s="330" t="str">
        <f>'Résultats à 4+4'!B35</f>
        <v>1er A</v>
      </c>
      <c r="G31" s="331" t="s">
        <v>113</v>
      </c>
      <c r="H31" s="199"/>
      <c r="I31" s="219"/>
      <c r="J31" s="219"/>
      <c r="K31" s="219"/>
    </row>
    <row r="32" spans="1:15" ht="15" customHeight="1">
      <c r="A32" s="199"/>
      <c r="B32" s="216"/>
      <c r="C32" s="335"/>
      <c r="D32" s="219"/>
      <c r="E32" s="332"/>
      <c r="F32" s="330" t="str">
        <f>'Résultats à 4+4'!C35</f>
        <v>Vainqueur C-O 2</v>
      </c>
      <c r="G32" s="238" t="str">
        <f>F26</f>
        <v>3e B</v>
      </c>
      <c r="H32" s="199"/>
      <c r="I32" s="219"/>
      <c r="J32" s="219"/>
      <c r="K32" s="219"/>
    </row>
    <row r="33" spans="1:11" ht="15" customHeight="1">
      <c r="A33" s="333" t="s">
        <v>391</v>
      </c>
      <c r="B33" s="330" t="str">
        <f>I16</f>
        <v>A2</v>
      </c>
      <c r="C33" s="331" t="s">
        <v>113</v>
      </c>
      <c r="D33" s="219"/>
      <c r="E33" s="199"/>
      <c r="F33" s="223"/>
      <c r="G33" s="336"/>
      <c r="H33" s="199"/>
      <c r="I33" s="219"/>
      <c r="J33" s="219"/>
      <c r="K33" s="219"/>
    </row>
    <row r="34" spans="1:11" ht="15" customHeight="1">
      <c r="A34" s="213"/>
      <c r="B34" s="330" t="str">
        <f>I18</f>
        <v>A4</v>
      </c>
      <c r="C34" s="238" t="str">
        <f>I17</f>
        <v>A3</v>
      </c>
      <c r="D34" s="219"/>
      <c r="E34" s="329" t="s">
        <v>36</v>
      </c>
      <c r="F34" s="330" t="str">
        <f>'Résultats à 4+4'!D35</f>
        <v>Vainqueur C-O 1</v>
      </c>
      <c r="G34" s="331" t="s">
        <v>113</v>
      </c>
      <c r="H34" s="199"/>
      <c r="I34" s="219"/>
      <c r="J34" s="219"/>
      <c r="K34" s="219"/>
    </row>
    <row r="35" spans="1:11" ht="15" customHeight="1">
      <c r="A35" s="199"/>
      <c r="B35" s="216"/>
      <c r="C35" s="256"/>
      <c r="D35" s="219"/>
      <c r="E35" s="332"/>
      <c r="F35" s="330" t="str">
        <f>'Résultats à 4+4'!E35</f>
        <v>1er B</v>
      </c>
      <c r="G35" s="238" t="str">
        <f>F29</f>
        <v>3e A</v>
      </c>
      <c r="H35" s="199"/>
      <c r="I35" s="219"/>
      <c r="J35" s="219"/>
      <c r="K35" s="219"/>
    </row>
    <row r="36" spans="1:11" ht="15" customHeight="1">
      <c r="A36" s="333" t="s">
        <v>400</v>
      </c>
      <c r="B36" s="330" t="str">
        <f>I20</f>
        <v>B2</v>
      </c>
      <c r="C36" s="331" t="s">
        <v>113</v>
      </c>
      <c r="D36" s="219"/>
      <c r="E36" s="199"/>
      <c r="F36" s="223"/>
      <c r="G36" s="336"/>
      <c r="H36" s="199"/>
      <c r="I36" s="219"/>
      <c r="J36" s="219"/>
      <c r="K36" s="219"/>
    </row>
    <row r="37" spans="1:11" ht="15" customHeight="1">
      <c r="A37" s="213"/>
      <c r="B37" s="330" t="str">
        <f>I22</f>
        <v>B4</v>
      </c>
      <c r="C37" s="238" t="str">
        <f>I23</f>
        <v>Directeur de tournoi</v>
      </c>
      <c r="D37" s="219"/>
      <c r="E37" s="329" t="s">
        <v>401</v>
      </c>
      <c r="F37" s="330" t="str">
        <f>'Résultats à 4+4'!F35</f>
        <v>4e B</v>
      </c>
      <c r="G37" s="331" t="s">
        <v>113</v>
      </c>
      <c r="H37" s="199"/>
      <c r="I37" s="219"/>
      <c r="J37" s="219"/>
      <c r="K37" s="219"/>
    </row>
    <row r="38" spans="1:11" ht="15" customHeight="1">
      <c r="A38" s="199"/>
      <c r="B38" s="223"/>
      <c r="C38" s="337"/>
      <c r="D38" s="219"/>
      <c r="E38" s="332"/>
      <c r="F38" s="330" t="str">
        <f>'Résultats à 4+4'!G35</f>
        <v>Perdant C-O 2</v>
      </c>
      <c r="G38" s="238" t="str">
        <f>F25</f>
        <v>2e A</v>
      </c>
      <c r="H38" s="199"/>
      <c r="I38" s="219"/>
      <c r="J38" s="219"/>
      <c r="K38" s="219"/>
    </row>
    <row r="39" spans="1:11" ht="15" customHeight="1">
      <c r="A39" s="199"/>
      <c r="B39" s="223"/>
      <c r="C39" s="337"/>
      <c r="D39" s="219"/>
      <c r="E39" s="199"/>
      <c r="F39" s="223"/>
      <c r="G39" s="336"/>
      <c r="H39" s="199"/>
      <c r="I39" s="219"/>
      <c r="J39" s="219"/>
      <c r="K39" s="219"/>
    </row>
    <row r="40" spans="1:11" ht="15" customHeight="1">
      <c r="A40" s="199"/>
      <c r="B40" s="223"/>
      <c r="C40" s="337"/>
      <c r="D40" s="219"/>
      <c r="E40" s="329" t="s">
        <v>390</v>
      </c>
      <c r="F40" s="330" t="str">
        <f>'Résultats à 4+4'!H35</f>
        <v>Perdant C-O 1</v>
      </c>
      <c r="G40" s="331" t="s">
        <v>113</v>
      </c>
      <c r="H40" s="199"/>
      <c r="I40" s="219"/>
      <c r="J40" s="219"/>
      <c r="K40" s="219"/>
    </row>
    <row r="41" spans="1:11" ht="15" customHeight="1">
      <c r="A41" s="199"/>
      <c r="B41" s="223"/>
      <c r="C41" s="337"/>
      <c r="D41" s="219"/>
      <c r="E41" s="332"/>
      <c r="F41" s="330" t="str">
        <f>'Résultats à 4+4'!I35</f>
        <v>4e A</v>
      </c>
      <c r="G41" s="238" t="str">
        <f>F28</f>
        <v>2e B</v>
      </c>
      <c r="H41" s="199"/>
      <c r="I41" s="219"/>
      <c r="J41" s="219"/>
      <c r="K41" s="219"/>
    </row>
    <row r="42" spans="1:11" ht="15" customHeight="1">
      <c r="A42" s="199"/>
      <c r="B42" s="199"/>
      <c r="C42" s="199"/>
      <c r="D42" s="199"/>
      <c r="E42" s="199"/>
      <c r="F42" s="215"/>
      <c r="G42" s="252"/>
      <c r="H42" s="199"/>
      <c r="I42" s="219"/>
      <c r="J42" s="225"/>
      <c r="K42" s="225"/>
    </row>
    <row r="43" spans="1:11" ht="15" customHeight="1">
      <c r="A43" s="260" t="s">
        <v>466</v>
      </c>
      <c r="B43" s="261"/>
      <c r="C43" s="262"/>
      <c r="D43" s="199"/>
      <c r="E43" s="329" t="s">
        <v>26</v>
      </c>
      <c r="F43" s="330" t="str">
        <f>'Résultats à 4+4'!B38</f>
        <v>Perdant 1/2 1</v>
      </c>
      <c r="G43" s="331" t="s">
        <v>113</v>
      </c>
      <c r="H43" s="199"/>
      <c r="I43" s="219"/>
      <c r="J43" s="338"/>
      <c r="K43" s="338"/>
    </row>
    <row r="44" spans="1:11" ht="15" customHeight="1">
      <c r="A44" s="263"/>
      <c r="B44" s="264"/>
      <c r="C44" s="265"/>
      <c r="D44" s="219"/>
      <c r="E44" s="332"/>
      <c r="F44" s="330" t="str">
        <f>'Résultats à 4+4'!C38</f>
        <v>Perdant 1/2 2</v>
      </c>
      <c r="G44" s="238" t="str">
        <f>F49</f>
        <v>Perdant 1/2 3</v>
      </c>
      <c r="H44" s="199"/>
      <c r="I44" s="219"/>
      <c r="J44" s="338"/>
      <c r="K44" s="338"/>
    </row>
    <row r="45" spans="1:11" ht="15" customHeight="1">
      <c r="A45" s="263"/>
      <c r="B45" s="264"/>
      <c r="C45" s="265"/>
      <c r="D45" s="199"/>
      <c r="E45" s="199"/>
      <c r="F45" s="215"/>
      <c r="G45" s="252"/>
      <c r="H45" s="199"/>
      <c r="I45" s="219"/>
    </row>
    <row r="46" spans="1:11" ht="15" customHeight="1">
      <c r="A46" s="263"/>
      <c r="B46" s="264"/>
      <c r="C46" s="265"/>
      <c r="D46" s="199"/>
      <c r="E46" s="329" t="s">
        <v>402</v>
      </c>
      <c r="F46" s="330" t="str">
        <f>'Résultats à 4+4'!D38</f>
        <v>Vainqueur 1/2 3</v>
      </c>
      <c r="G46" s="331" t="s">
        <v>113</v>
      </c>
      <c r="H46" s="199"/>
      <c r="I46" s="219"/>
    </row>
    <row r="47" spans="1:11" ht="15" customHeight="1">
      <c r="A47" s="266"/>
      <c r="B47" s="267"/>
      <c r="C47" s="268"/>
      <c r="D47" s="219"/>
      <c r="E47" s="332"/>
      <c r="F47" s="330" t="str">
        <f>'Résultats à 4+4'!E38</f>
        <v>Vainqueur 1/2 4</v>
      </c>
      <c r="G47" s="238" t="str">
        <f>F52</f>
        <v>Vainqueur 1/2 1</v>
      </c>
      <c r="H47" s="199"/>
      <c r="I47" s="219"/>
    </row>
    <row r="48" spans="1:11" ht="15" customHeight="1">
      <c r="A48" s="230"/>
      <c r="B48" s="230"/>
      <c r="C48" s="230"/>
      <c r="D48" s="219"/>
      <c r="E48" s="199"/>
      <c r="F48" s="223"/>
      <c r="G48" s="336"/>
      <c r="H48" s="199"/>
      <c r="I48" s="219"/>
    </row>
    <row r="49" spans="1:9" ht="15" customHeight="1">
      <c r="A49" s="230"/>
      <c r="B49" s="230"/>
      <c r="C49" s="230"/>
      <c r="D49" s="219"/>
      <c r="E49" s="329" t="s">
        <v>403</v>
      </c>
      <c r="F49" s="330" t="str">
        <f>'Résultats à 4+4'!F38</f>
        <v>Perdant 1/2 3</v>
      </c>
      <c r="G49" s="331" t="s">
        <v>113</v>
      </c>
      <c r="H49" s="199"/>
      <c r="I49" s="219"/>
    </row>
    <row r="50" spans="1:9" ht="15" customHeight="1">
      <c r="A50" s="230"/>
      <c r="B50" s="230"/>
      <c r="C50" s="230"/>
      <c r="D50" s="219"/>
      <c r="E50" s="332"/>
      <c r="F50" s="330" t="str">
        <f>'Résultats à 4+4'!G38</f>
        <v>Perdant 1/2 4</v>
      </c>
      <c r="G50" s="238" t="str">
        <f>F44</f>
        <v>Perdant 1/2 2</v>
      </c>
      <c r="H50" s="199"/>
      <c r="I50" s="219"/>
    </row>
    <row r="51" spans="1:9" ht="15" customHeight="1">
      <c r="A51" s="230"/>
      <c r="B51" s="230"/>
      <c r="C51" s="230"/>
      <c r="D51" s="219"/>
      <c r="E51" s="199"/>
      <c r="F51" s="215"/>
      <c r="G51" s="252"/>
      <c r="H51" s="199"/>
      <c r="I51" s="219"/>
    </row>
    <row r="52" spans="1:9" ht="15" customHeight="1">
      <c r="A52" s="230"/>
      <c r="B52" s="230"/>
      <c r="C52" s="230"/>
      <c r="D52" s="219"/>
      <c r="E52" s="329" t="s">
        <v>404</v>
      </c>
      <c r="F52" s="330" t="str">
        <f>'Résultats à 4+4'!B41</f>
        <v>Vainqueur 1/2 1</v>
      </c>
      <c r="G52" s="331" t="s">
        <v>113</v>
      </c>
      <c r="H52" s="199"/>
      <c r="I52" s="219"/>
    </row>
    <row r="53" spans="1:9" ht="15" customHeight="1">
      <c r="A53" s="230"/>
      <c r="B53" s="230"/>
      <c r="C53" s="230"/>
      <c r="D53" s="219"/>
      <c r="E53" s="332"/>
      <c r="F53" s="330" t="str">
        <f>'Résultats à 4+4'!C41</f>
        <v>Vainqueur 1/2 2</v>
      </c>
      <c r="G53" s="238" t="str">
        <f>I23</f>
        <v>Directeur de tournoi</v>
      </c>
      <c r="H53" s="199"/>
      <c r="I53" s="219"/>
    </row>
    <row r="54" spans="1:9">
      <c r="A54" s="227"/>
      <c r="B54" s="227"/>
      <c r="C54" s="227"/>
      <c r="D54" s="219"/>
      <c r="E54" s="219"/>
      <c r="F54" s="223"/>
      <c r="G54" s="228"/>
      <c r="H54" s="199"/>
      <c r="I54" s="225"/>
    </row>
    <row r="55" spans="1:9" ht="41.4" customHeight="1">
      <c r="A55" s="339" t="s">
        <v>114</v>
      </c>
      <c r="B55" s="340"/>
      <c r="C55" s="340"/>
      <c r="D55" s="340"/>
      <c r="E55" s="340"/>
      <c r="F55" s="340"/>
      <c r="G55" s="341"/>
      <c r="H55" s="199"/>
      <c r="I55" s="225"/>
    </row>
    <row r="56" spans="1:9">
      <c r="I56" s="225"/>
    </row>
    <row r="57" spans="1:9" ht="15" customHeight="1">
      <c r="C57" s="231" t="s">
        <v>464</v>
      </c>
      <c r="D57" s="232"/>
      <c r="E57" s="232"/>
      <c r="F57" s="233"/>
    </row>
    <row r="58" spans="1:9" ht="15" customHeight="1">
      <c r="C58" s="234" t="s">
        <v>465</v>
      </c>
      <c r="D58" s="235"/>
      <c r="E58" s="235"/>
      <c r="F58" s="236"/>
    </row>
    <row r="59" spans="1:9" ht="30" customHeight="1">
      <c r="A59" s="194" t="s">
        <v>444</v>
      </c>
      <c r="B59" s="194"/>
      <c r="C59" s="194"/>
      <c r="D59" s="194"/>
      <c r="E59" s="194"/>
      <c r="F59" s="194"/>
      <c r="G59" s="194"/>
      <c r="H59" s="199"/>
      <c r="I59" s="199"/>
    </row>
    <row r="60" spans="1:9" ht="30" customHeight="1">
      <c r="A60" s="197" t="s">
        <v>426</v>
      </c>
      <c r="B60" s="197"/>
      <c r="C60" s="197"/>
      <c r="D60" s="197"/>
      <c r="E60" s="197"/>
      <c r="F60" s="197"/>
      <c r="G60" s="197"/>
      <c r="H60" s="199"/>
      <c r="I60" s="199"/>
    </row>
    <row r="61" spans="1:9" ht="30" customHeight="1">
      <c r="A61" s="197" t="s">
        <v>427</v>
      </c>
      <c r="B61" s="197"/>
      <c r="C61" s="197"/>
      <c r="D61" s="197"/>
      <c r="E61" s="197"/>
      <c r="F61" s="197"/>
      <c r="G61" s="197"/>
      <c r="H61" s="199"/>
      <c r="I61" s="199"/>
    </row>
    <row r="62" spans="1:9" ht="30" customHeight="1">
      <c r="A62" s="197" t="s">
        <v>428</v>
      </c>
      <c r="B62" s="197"/>
      <c r="C62" s="197"/>
      <c r="D62" s="197"/>
      <c r="E62" s="197"/>
      <c r="F62" s="197"/>
      <c r="G62" s="197"/>
      <c r="H62" s="199"/>
      <c r="I62" s="199"/>
    </row>
    <row r="63" spans="1:9" ht="17.399999999999999">
      <c r="A63" s="322" t="s">
        <v>185</v>
      </c>
      <c r="B63" s="322"/>
      <c r="C63" s="322"/>
      <c r="D63" s="198"/>
      <c r="E63" s="322" t="s">
        <v>186</v>
      </c>
      <c r="F63" s="322"/>
      <c r="G63" s="322"/>
      <c r="H63" s="199"/>
      <c r="I63" s="199"/>
    </row>
    <row r="64" spans="1:9" ht="17.399999999999999">
      <c r="A64" s="323" t="e">
        <f>I73&amp;" ("&amp;N73&amp;")"</f>
        <v>#N/A</v>
      </c>
      <c r="B64" s="323"/>
      <c r="C64" s="323"/>
      <c r="D64" s="198"/>
      <c r="E64" s="323" t="e">
        <f>I77&amp;" ("&amp;N77&amp;")"</f>
        <v>#N/A</v>
      </c>
      <c r="F64" s="323"/>
      <c r="G64" s="323"/>
      <c r="H64" s="199"/>
      <c r="I64" s="199"/>
    </row>
    <row r="65" spans="1:15" ht="17.399999999999999">
      <c r="A65" s="323" t="e">
        <f>I74&amp;" ("&amp;N74&amp;")"</f>
        <v>#N/A</v>
      </c>
      <c r="B65" s="323"/>
      <c r="C65" s="323"/>
      <c r="D65" s="198"/>
      <c r="E65" s="323" t="e">
        <f>I78&amp;" ("&amp;N78&amp;")"</f>
        <v>#N/A</v>
      </c>
      <c r="F65" s="323"/>
      <c r="G65" s="323"/>
      <c r="H65" s="199"/>
      <c r="I65" s="199"/>
    </row>
    <row r="66" spans="1:15" ht="17.399999999999999">
      <c r="A66" s="323" t="e">
        <f>I75&amp;" ("&amp;N75&amp;")"</f>
        <v>#N/A</v>
      </c>
      <c r="B66" s="323"/>
      <c r="C66" s="323"/>
      <c r="D66" s="198"/>
      <c r="E66" s="324" t="e">
        <f>I79&amp;" ("&amp;N79&amp;")"</f>
        <v>#N/A</v>
      </c>
      <c r="F66" s="324"/>
      <c r="G66" s="324"/>
      <c r="H66" s="199"/>
      <c r="I66" s="199"/>
    </row>
    <row r="67" spans="1:15" ht="17.399999999999999">
      <c r="A67" s="323" t="e">
        <f>I76&amp;" ("&amp;N76&amp;")"</f>
        <v>#N/A</v>
      </c>
      <c r="B67" s="323"/>
      <c r="C67" s="323"/>
      <c r="D67" s="198"/>
      <c r="E67" s="324" t="e">
        <f>I80&amp;" ("&amp;N80&amp;")"</f>
        <v>#N/A</v>
      </c>
      <c r="F67" s="324"/>
      <c r="G67" s="324"/>
      <c r="H67" s="199"/>
      <c r="I67" s="199"/>
    </row>
    <row r="68" spans="1:15" ht="9" customHeight="1">
      <c r="A68" s="201"/>
      <c r="B68" s="201"/>
      <c r="C68" s="201"/>
      <c r="D68" s="201"/>
      <c r="E68" s="201"/>
      <c r="F68" s="201"/>
      <c r="G68" s="201"/>
      <c r="H68" s="199"/>
      <c r="I68" s="199"/>
    </row>
    <row r="69" spans="1:15" ht="15" customHeight="1">
      <c r="A69" s="325" t="s">
        <v>22</v>
      </c>
      <c r="B69" s="326"/>
      <c r="C69" s="327"/>
      <c r="D69" s="205"/>
      <c r="E69" s="325" t="s">
        <v>23</v>
      </c>
      <c r="F69" s="326"/>
      <c r="G69" s="327"/>
      <c r="H69" s="199"/>
      <c r="I69" s="199"/>
      <c r="J69" s="206"/>
    </row>
    <row r="70" spans="1:15">
      <c r="A70" s="205"/>
      <c r="B70" s="207"/>
      <c r="C70" s="207"/>
      <c r="D70" s="205"/>
      <c r="E70" s="205"/>
      <c r="F70" s="207"/>
      <c r="G70" s="207"/>
      <c r="H70" s="199"/>
      <c r="I70" s="199"/>
    </row>
    <row r="71" spans="1:15" ht="15" customHeight="1">
      <c r="A71" s="328" t="s">
        <v>396</v>
      </c>
      <c r="B71" s="325" t="s">
        <v>77</v>
      </c>
      <c r="C71" s="327"/>
      <c r="D71" s="199"/>
      <c r="E71" s="333" t="s">
        <v>157</v>
      </c>
      <c r="F71" s="330" t="str">
        <f>'Résultats à 4+4'!B83</f>
        <v>2e A</v>
      </c>
      <c r="G71" s="331" t="s">
        <v>113</v>
      </c>
      <c r="H71" s="199"/>
      <c r="I71" s="199"/>
      <c r="J71" s="212"/>
    </row>
    <row r="72" spans="1:15" ht="15" customHeight="1">
      <c r="A72" s="205"/>
      <c r="B72" s="207"/>
      <c r="C72" s="207"/>
      <c r="D72" s="199"/>
      <c r="E72" s="213"/>
      <c r="F72" s="330" t="str">
        <f>'Résultats à 4+4'!C83</f>
        <v>3e B</v>
      </c>
      <c r="G72" s="238" t="str">
        <f>I81</f>
        <v>Directeur de tournoi</v>
      </c>
      <c r="H72" s="199"/>
      <c r="J72" s="212"/>
    </row>
    <row r="73" spans="1:15" ht="15" customHeight="1">
      <c r="A73" s="333" t="s">
        <v>29</v>
      </c>
      <c r="B73" s="334" t="str">
        <f>I73</f>
        <v>1er Aller</v>
      </c>
      <c r="C73" s="331" t="s">
        <v>113</v>
      </c>
      <c r="D73" s="199"/>
      <c r="E73" s="199"/>
      <c r="F73" s="215"/>
      <c r="G73" s="252"/>
      <c r="H73" s="199"/>
      <c r="I73" s="217" t="str">
        <f>'Résultats à 4+4'!A57</f>
        <v>1er Aller</v>
      </c>
      <c r="J73" s="218">
        <f t="shared" ref="J73:J80" si="4">COUNTIF($B$73:$B$107,I73)+COUNTIF($F$71:$F$99,I73)</f>
        <v>3</v>
      </c>
      <c r="K73" s="218">
        <f t="shared" ref="K73:K80" si="5">COUNTIF($B$73:$B$107,I73)</f>
        <v>3</v>
      </c>
      <c r="L73" s="218">
        <f t="shared" ref="L73:L80" si="6">COUNTIF($F$71:$F$99,I73)</f>
        <v>0</v>
      </c>
      <c r="M73" s="218">
        <f t="shared" ref="M73:M81" si="7">COUNTIF($C$73:$C$107,I73)+COUNTIF($G$71:$G$99,I73)</f>
        <v>1</v>
      </c>
      <c r="N73" s="241" t="e">
        <f>VLOOKUP(I73,'club-ville'!A:B,2,FALSE)</f>
        <v>#N/A</v>
      </c>
      <c r="O73" s="217"/>
    </row>
    <row r="74" spans="1:15" ht="15" customHeight="1">
      <c r="A74" s="213"/>
      <c r="B74" s="334" t="str">
        <f>I74</f>
        <v>4e Aller</v>
      </c>
      <c r="C74" s="238" t="str">
        <f>I81</f>
        <v>Directeur de tournoi</v>
      </c>
      <c r="D74" s="199"/>
      <c r="E74" s="333" t="s">
        <v>240</v>
      </c>
      <c r="F74" s="330" t="str">
        <f>'Résultats à 4+4'!D83</f>
        <v>2e B</v>
      </c>
      <c r="G74" s="331" t="s">
        <v>113</v>
      </c>
      <c r="H74" s="199"/>
      <c r="I74" s="217" t="str">
        <f>'Résultats à 4+4'!A58</f>
        <v>4e Aller</v>
      </c>
      <c r="J74" s="218">
        <f t="shared" si="4"/>
        <v>3</v>
      </c>
      <c r="K74" s="218">
        <f t="shared" si="5"/>
        <v>3</v>
      </c>
      <c r="L74" s="218">
        <f t="shared" si="6"/>
        <v>0</v>
      </c>
      <c r="M74" s="218">
        <f t="shared" si="7"/>
        <v>0</v>
      </c>
      <c r="N74" s="241" t="e">
        <f>VLOOKUP(I74,'club-ville'!A:B,2,FALSE)</f>
        <v>#N/A</v>
      </c>
      <c r="O74" s="217"/>
    </row>
    <row r="75" spans="1:15" ht="15" customHeight="1">
      <c r="A75" s="199"/>
      <c r="B75" s="215"/>
      <c r="C75" s="255"/>
      <c r="D75" s="219"/>
      <c r="E75" s="213"/>
      <c r="F75" s="330" t="str">
        <f>'Résultats à 4+4'!E83</f>
        <v>3e A</v>
      </c>
      <c r="G75" s="238" t="s">
        <v>419</v>
      </c>
      <c r="H75" s="199"/>
      <c r="I75" s="217" t="str">
        <f>'Résultats à 4+4'!A59</f>
        <v>5e Aller</v>
      </c>
      <c r="J75" s="218">
        <f t="shared" si="4"/>
        <v>3</v>
      </c>
      <c r="K75" s="218">
        <f t="shared" si="5"/>
        <v>3</v>
      </c>
      <c r="L75" s="218">
        <f t="shared" si="6"/>
        <v>0</v>
      </c>
      <c r="M75" s="218">
        <f t="shared" si="7"/>
        <v>2</v>
      </c>
      <c r="N75" s="241" t="e">
        <f>VLOOKUP(I75,'club-ville'!A:B,2,FALSE)</f>
        <v>#N/A</v>
      </c>
      <c r="O75" s="217"/>
    </row>
    <row r="76" spans="1:15" ht="15" customHeight="1">
      <c r="A76" s="333" t="s">
        <v>234</v>
      </c>
      <c r="B76" s="330" t="str">
        <f>I77</f>
        <v>2e Aller</v>
      </c>
      <c r="C76" s="331" t="s">
        <v>113</v>
      </c>
      <c r="D76" s="199"/>
      <c r="E76" s="199"/>
      <c r="F76" s="215"/>
      <c r="G76" s="252"/>
      <c r="H76" s="199"/>
      <c r="I76" s="217" t="str">
        <f>'Résultats à 4+4'!A60</f>
        <v>8e Aller</v>
      </c>
      <c r="J76" s="218">
        <f t="shared" si="4"/>
        <v>3</v>
      </c>
      <c r="K76" s="218">
        <f t="shared" si="5"/>
        <v>3</v>
      </c>
      <c r="L76" s="218">
        <f t="shared" si="6"/>
        <v>0</v>
      </c>
      <c r="M76" s="218">
        <f t="shared" si="7"/>
        <v>1</v>
      </c>
      <c r="N76" s="241" t="e">
        <f>VLOOKUP(I76,'club-ville'!A:B,2,FALSE)</f>
        <v>#N/A</v>
      </c>
      <c r="O76" s="217"/>
    </row>
    <row r="77" spans="1:15" ht="15" customHeight="1">
      <c r="A77" s="213"/>
      <c r="B77" s="330" t="str">
        <f>I78</f>
        <v>3e Aller</v>
      </c>
      <c r="C77" s="238" t="str">
        <f>I79</f>
        <v>6e Aller</v>
      </c>
      <c r="D77" s="199"/>
      <c r="E77" s="333" t="s">
        <v>241</v>
      </c>
      <c r="F77" s="330" t="str">
        <f>'Résultats à 4+4'!D86</f>
        <v>Vainqueur C-O 1</v>
      </c>
      <c r="G77" s="331" t="s">
        <v>113</v>
      </c>
      <c r="H77" s="199"/>
      <c r="I77" s="217" t="str">
        <f>'Résultats à 4+4'!A70</f>
        <v>2e Aller</v>
      </c>
      <c r="J77" s="218">
        <f t="shared" si="4"/>
        <v>3</v>
      </c>
      <c r="K77" s="218">
        <f t="shared" si="5"/>
        <v>3</v>
      </c>
      <c r="L77" s="218">
        <f t="shared" si="6"/>
        <v>0</v>
      </c>
      <c r="M77" s="218">
        <f t="shared" si="7"/>
        <v>2</v>
      </c>
      <c r="N77" s="241" t="e">
        <f>VLOOKUP(I77,'club-ville'!A:B,2,FALSE)</f>
        <v>#N/A</v>
      </c>
      <c r="O77" s="217"/>
    </row>
    <row r="78" spans="1:15" ht="15" customHeight="1">
      <c r="A78" s="199"/>
      <c r="B78" s="215"/>
      <c r="C78" s="252"/>
      <c r="D78" s="219"/>
      <c r="E78" s="213"/>
      <c r="F78" s="330" t="str">
        <f>'Résultats à 4+4'!E86</f>
        <v>1er B</v>
      </c>
      <c r="G78" s="238" t="s">
        <v>424</v>
      </c>
      <c r="H78" s="199"/>
      <c r="I78" s="217" t="str">
        <f>'Résultats à 4+4'!A71</f>
        <v>3e Aller</v>
      </c>
      <c r="J78" s="218">
        <f t="shared" si="4"/>
        <v>3</v>
      </c>
      <c r="K78" s="218">
        <f t="shared" si="5"/>
        <v>3</v>
      </c>
      <c r="L78" s="218">
        <f t="shared" si="6"/>
        <v>0</v>
      </c>
      <c r="M78" s="218">
        <f t="shared" si="7"/>
        <v>2</v>
      </c>
      <c r="N78" s="241" t="e">
        <f>VLOOKUP(I78,'club-ville'!A:B,2,FALSE)</f>
        <v>#N/A</v>
      </c>
      <c r="O78" s="217"/>
    </row>
    <row r="79" spans="1:15" ht="15" customHeight="1">
      <c r="A79" s="333" t="s">
        <v>235</v>
      </c>
      <c r="B79" s="330" t="str">
        <f>I75</f>
        <v>5e Aller</v>
      </c>
      <c r="C79" s="331" t="s">
        <v>113</v>
      </c>
      <c r="D79" s="199"/>
      <c r="E79" s="199"/>
      <c r="F79" s="223"/>
      <c r="G79" s="336"/>
      <c r="H79" s="199"/>
      <c r="I79" s="217" t="str">
        <f>'Résultats à 4+4'!A72</f>
        <v>6e Aller</v>
      </c>
      <c r="J79" s="218">
        <f t="shared" si="4"/>
        <v>3</v>
      </c>
      <c r="K79" s="218">
        <f t="shared" si="5"/>
        <v>3</v>
      </c>
      <c r="L79" s="218">
        <f t="shared" si="6"/>
        <v>0</v>
      </c>
      <c r="M79" s="218">
        <f t="shared" si="7"/>
        <v>2</v>
      </c>
      <c r="N79" s="241" t="e">
        <f>VLOOKUP(I79,'club-ville'!A:B,2,FALSE)</f>
        <v>#N/A</v>
      </c>
      <c r="O79" s="217"/>
    </row>
    <row r="80" spans="1:15" ht="15" customHeight="1">
      <c r="A80" s="213"/>
      <c r="B80" s="330" t="str">
        <f>I76</f>
        <v>8e Aller</v>
      </c>
      <c r="C80" s="238" t="str">
        <f>I73</f>
        <v>1er Aller</v>
      </c>
      <c r="D80" s="199"/>
      <c r="E80" s="333" t="s">
        <v>29</v>
      </c>
      <c r="F80" s="330" t="str">
        <f>'Résultats à 4+4'!B86</f>
        <v>1er A</v>
      </c>
      <c r="G80" s="331" t="s">
        <v>113</v>
      </c>
      <c r="H80" s="199"/>
      <c r="I80" s="217" t="str">
        <f>'Résultats à 4+4'!A73</f>
        <v>7e Aller</v>
      </c>
      <c r="J80" s="218">
        <f t="shared" si="4"/>
        <v>3</v>
      </c>
      <c r="K80" s="218">
        <f t="shared" si="5"/>
        <v>3</v>
      </c>
      <c r="L80" s="218">
        <f t="shared" si="6"/>
        <v>0</v>
      </c>
      <c r="M80" s="218">
        <f t="shared" si="7"/>
        <v>1</v>
      </c>
      <c r="N80" s="241" t="e">
        <f>VLOOKUP(I80,'club-ville'!A:B,2,FALSE)</f>
        <v>#N/A</v>
      </c>
      <c r="O80" s="217"/>
    </row>
    <row r="81" spans="1:13" ht="15" customHeight="1">
      <c r="A81" s="199"/>
      <c r="B81" s="215"/>
      <c r="C81" s="252"/>
      <c r="D81" s="219"/>
      <c r="E81" s="213"/>
      <c r="F81" s="330" t="str">
        <f>'Résultats à 4+4'!C86</f>
        <v>Vainqueur C-O 2</v>
      </c>
      <c r="G81" s="238" t="s">
        <v>420</v>
      </c>
      <c r="H81" s="199"/>
      <c r="I81" s="221" t="s">
        <v>30</v>
      </c>
      <c r="J81" s="218"/>
      <c r="K81" s="218"/>
      <c r="L81" s="218"/>
      <c r="M81" s="218">
        <f t="shared" si="7"/>
        <v>3</v>
      </c>
    </row>
    <row r="82" spans="1:13" ht="15" customHeight="1">
      <c r="A82" s="333" t="s">
        <v>133</v>
      </c>
      <c r="B82" s="330" t="str">
        <f>I79</f>
        <v>6e Aller</v>
      </c>
      <c r="C82" s="331" t="s">
        <v>113</v>
      </c>
      <c r="D82" s="199"/>
      <c r="E82" s="199"/>
      <c r="F82" s="223"/>
      <c r="G82" s="336"/>
      <c r="H82" s="199"/>
      <c r="J82" s="212"/>
    </row>
    <row r="83" spans="1:13" ht="15" customHeight="1">
      <c r="A83" s="213"/>
      <c r="B83" s="330" t="str">
        <f>I80</f>
        <v>7e Aller</v>
      </c>
      <c r="C83" s="238" t="str">
        <f>I77</f>
        <v>2e Aller</v>
      </c>
      <c r="D83" s="199"/>
      <c r="E83" s="333" t="s">
        <v>234</v>
      </c>
      <c r="F83" s="330" t="str">
        <f>'Résultats à 4+4'!F86</f>
        <v>4e B</v>
      </c>
      <c r="G83" s="331" t="s">
        <v>113</v>
      </c>
      <c r="H83" s="199"/>
    </row>
    <row r="84" spans="1:13" ht="15" customHeight="1">
      <c r="A84" s="199"/>
      <c r="B84" s="215"/>
      <c r="C84" s="252"/>
      <c r="D84" s="219"/>
      <c r="E84" s="213"/>
      <c r="F84" s="330" t="str">
        <f>'Résultats à 4+4'!G86</f>
        <v>Perdant C-O 2</v>
      </c>
      <c r="G84" s="238" t="s">
        <v>421</v>
      </c>
      <c r="H84" s="199"/>
    </row>
    <row r="85" spans="1:13" ht="15" customHeight="1">
      <c r="A85" s="333" t="s">
        <v>236</v>
      </c>
      <c r="B85" s="330" t="str">
        <f>I73</f>
        <v>1er Aller</v>
      </c>
      <c r="C85" s="331" t="s">
        <v>113</v>
      </c>
      <c r="D85" s="199"/>
      <c r="E85" s="199"/>
      <c r="F85" s="223"/>
      <c r="G85" s="336"/>
      <c r="H85" s="199"/>
      <c r="J85" s="219"/>
      <c r="K85" s="219"/>
    </row>
    <row r="86" spans="1:13" ht="15" customHeight="1">
      <c r="A86" s="213"/>
      <c r="B86" s="330" t="str">
        <f>I75</f>
        <v>5e Aller</v>
      </c>
      <c r="C86" s="238" t="str">
        <f>I78</f>
        <v>3e Aller</v>
      </c>
      <c r="D86" s="199"/>
      <c r="E86" s="333" t="s">
        <v>235</v>
      </c>
      <c r="F86" s="330" t="str">
        <f>'Résultats à 4+4'!H86</f>
        <v>Perdant C-O 1</v>
      </c>
      <c r="G86" s="331" t="s">
        <v>113</v>
      </c>
      <c r="H86" s="199"/>
      <c r="J86" s="219"/>
      <c r="K86" s="219"/>
    </row>
    <row r="87" spans="1:13" ht="15" customHeight="1">
      <c r="A87" s="199"/>
      <c r="B87" s="215"/>
      <c r="C87" s="252"/>
      <c r="D87" s="219"/>
      <c r="E87" s="213"/>
      <c r="F87" s="330" t="str">
        <f>'Résultats à 4+4'!I86</f>
        <v>4e A</v>
      </c>
      <c r="G87" s="238" t="s">
        <v>422</v>
      </c>
      <c r="H87" s="199"/>
      <c r="J87" s="219"/>
      <c r="K87" s="219"/>
    </row>
    <row r="88" spans="1:13" ht="15" customHeight="1">
      <c r="A88" s="333" t="s">
        <v>134</v>
      </c>
      <c r="B88" s="330" t="str">
        <f>I77</f>
        <v>2e Aller</v>
      </c>
      <c r="C88" s="331" t="s">
        <v>113</v>
      </c>
      <c r="D88" s="199"/>
      <c r="E88" s="199"/>
      <c r="F88" s="215"/>
      <c r="G88" s="252"/>
      <c r="H88" s="199"/>
      <c r="J88" s="221"/>
      <c r="K88" s="221"/>
    </row>
    <row r="89" spans="1:13" ht="15" customHeight="1">
      <c r="A89" s="213"/>
      <c r="B89" s="330" t="str">
        <f>I79</f>
        <v>6e Aller</v>
      </c>
      <c r="C89" s="257" t="str">
        <f>I75</f>
        <v>5e Aller</v>
      </c>
      <c r="D89" s="199"/>
      <c r="E89" s="329" t="s">
        <v>133</v>
      </c>
      <c r="F89" s="330" t="str">
        <f>'Résultats à 4+4'!B89</f>
        <v>Perdant 1/2 1</v>
      </c>
      <c r="G89" s="331" t="s">
        <v>113</v>
      </c>
      <c r="H89" s="199"/>
      <c r="I89" s="219"/>
      <c r="J89" s="219"/>
      <c r="K89" s="219"/>
    </row>
    <row r="90" spans="1:13" ht="15" customHeight="1">
      <c r="A90" s="199"/>
      <c r="B90" s="216"/>
      <c r="C90" s="335"/>
      <c r="D90" s="219"/>
      <c r="E90" s="332"/>
      <c r="F90" s="330" t="str">
        <f>'Résultats à 4+4'!C89</f>
        <v>Perdant 1/2 2</v>
      </c>
      <c r="G90" s="238" t="s">
        <v>423</v>
      </c>
      <c r="H90" s="199"/>
      <c r="I90" s="219"/>
      <c r="J90" s="219"/>
      <c r="K90" s="219"/>
    </row>
    <row r="91" spans="1:13" ht="15" customHeight="1">
      <c r="A91" s="333" t="s">
        <v>26</v>
      </c>
      <c r="B91" s="330" t="str">
        <f>I74</f>
        <v>4e Aller</v>
      </c>
      <c r="C91" s="331" t="s">
        <v>113</v>
      </c>
      <c r="D91" s="219"/>
      <c r="E91" s="199"/>
      <c r="F91" s="215"/>
      <c r="G91" s="252"/>
      <c r="H91" s="199"/>
      <c r="I91" s="219"/>
      <c r="J91" s="219"/>
      <c r="K91" s="219"/>
    </row>
    <row r="92" spans="1:13" ht="15" customHeight="1">
      <c r="A92" s="213"/>
      <c r="B92" s="330" t="str">
        <f>I76</f>
        <v>8e Aller</v>
      </c>
      <c r="C92" s="238" t="str">
        <f>I79</f>
        <v>6e Aller</v>
      </c>
      <c r="D92" s="219"/>
      <c r="E92" s="329" t="s">
        <v>236</v>
      </c>
      <c r="F92" s="330" t="str">
        <f>'Résultats à 4+4'!D89</f>
        <v>Vainqueur 1/2 3</v>
      </c>
      <c r="G92" s="331" t="s">
        <v>113</v>
      </c>
      <c r="H92" s="199"/>
      <c r="I92" s="219"/>
      <c r="J92" s="219"/>
      <c r="K92" s="219"/>
    </row>
    <row r="93" spans="1:13" ht="15" customHeight="1">
      <c r="A93" s="199"/>
      <c r="B93" s="216"/>
      <c r="C93" s="256"/>
      <c r="D93" s="219"/>
      <c r="E93" s="332"/>
      <c r="F93" s="330" t="str">
        <f>'Résultats à 4+4'!E89</f>
        <v>Vainqueur 1/2 4</v>
      </c>
      <c r="G93" s="238" t="s">
        <v>418</v>
      </c>
      <c r="H93" s="199"/>
      <c r="I93" s="219"/>
      <c r="J93" s="219"/>
      <c r="K93" s="219"/>
    </row>
    <row r="94" spans="1:13" ht="15" customHeight="1">
      <c r="A94" s="333" t="s">
        <v>237</v>
      </c>
      <c r="B94" s="330" t="str">
        <f>I78</f>
        <v>3e Aller</v>
      </c>
      <c r="C94" s="331" t="s">
        <v>113</v>
      </c>
      <c r="D94" s="219"/>
      <c r="E94" s="199"/>
      <c r="F94" s="223"/>
      <c r="G94" s="336"/>
      <c r="H94" s="199"/>
      <c r="I94" s="219"/>
      <c r="J94" s="219"/>
      <c r="K94" s="219"/>
    </row>
    <row r="95" spans="1:13" ht="15" customHeight="1">
      <c r="A95" s="213"/>
      <c r="B95" s="330" t="str">
        <f>I80</f>
        <v>7e Aller</v>
      </c>
      <c r="C95" s="238" t="str">
        <f>I76</f>
        <v>8e Aller</v>
      </c>
      <c r="D95" s="219"/>
      <c r="E95" s="329" t="s">
        <v>134</v>
      </c>
      <c r="F95" s="330" t="str">
        <f>'Résultats à 4+4'!F89</f>
        <v>Perdant 1/2 3</v>
      </c>
      <c r="G95" s="331" t="s">
        <v>113</v>
      </c>
      <c r="H95" s="199"/>
      <c r="I95" s="219"/>
      <c r="J95" s="219"/>
      <c r="K95" s="219"/>
    </row>
    <row r="96" spans="1:13" ht="15" customHeight="1">
      <c r="A96" s="199"/>
      <c r="B96" s="223"/>
      <c r="C96" s="336"/>
      <c r="D96" s="219"/>
      <c r="E96" s="332"/>
      <c r="F96" s="330" t="str">
        <f>'Résultats à 4+4'!G89</f>
        <v>Perdant 1/2 4</v>
      </c>
      <c r="G96" s="238" t="s">
        <v>425</v>
      </c>
      <c r="H96" s="199"/>
      <c r="I96" s="219"/>
      <c r="J96" s="219"/>
      <c r="K96" s="219"/>
    </row>
    <row r="97" spans="1:11" ht="15" customHeight="1">
      <c r="A97" s="329" t="s">
        <v>238</v>
      </c>
      <c r="B97" s="330" t="str">
        <f>I74</f>
        <v>4e Aller</v>
      </c>
      <c r="C97" s="331" t="s">
        <v>113</v>
      </c>
      <c r="D97" s="219"/>
      <c r="H97" s="199"/>
      <c r="I97" s="219"/>
      <c r="J97" s="219"/>
      <c r="K97" s="219"/>
    </row>
    <row r="98" spans="1:11" ht="15" customHeight="1">
      <c r="A98" s="332"/>
      <c r="B98" s="330" t="str">
        <f>I75</f>
        <v>5e Aller</v>
      </c>
      <c r="C98" s="238" t="str">
        <f>I77</f>
        <v>2e Aller</v>
      </c>
      <c r="D98" s="219"/>
      <c r="E98" s="329" t="s">
        <v>26</v>
      </c>
      <c r="F98" s="330" t="str">
        <f>'Résultats à 4+4'!B92</f>
        <v>Vainqueur 1/2 1</v>
      </c>
      <c r="G98" s="331" t="s">
        <v>113</v>
      </c>
      <c r="H98" s="199"/>
      <c r="I98" s="219"/>
      <c r="J98" s="219"/>
      <c r="K98" s="219"/>
    </row>
    <row r="99" spans="1:11" ht="15" customHeight="1">
      <c r="A99" s="199"/>
      <c r="B99" s="223"/>
      <c r="C99" s="336"/>
      <c r="D99" s="219"/>
      <c r="E99" s="332"/>
      <c r="F99" s="330" t="str">
        <f>'Résultats à 4+4'!C92</f>
        <v>Vainqueur 1/2 2</v>
      </c>
      <c r="G99" s="238" t="str">
        <f>I81</f>
        <v>Directeur de tournoi</v>
      </c>
      <c r="H99" s="199"/>
      <c r="I99" s="219"/>
      <c r="J99" s="219"/>
      <c r="K99" s="219"/>
    </row>
    <row r="100" spans="1:11" ht="15" customHeight="1">
      <c r="A100" s="329" t="s">
        <v>239</v>
      </c>
      <c r="B100" s="330" t="str">
        <f>I78</f>
        <v>3e Aller</v>
      </c>
      <c r="C100" s="331" t="s">
        <v>113</v>
      </c>
      <c r="D100" s="199"/>
      <c r="H100" s="199"/>
      <c r="I100" s="219"/>
      <c r="J100" s="225"/>
      <c r="K100" s="225"/>
    </row>
    <row r="101" spans="1:11" ht="15" customHeight="1">
      <c r="A101" s="332"/>
      <c r="B101" s="330" t="str">
        <f>I79</f>
        <v>6e Aller</v>
      </c>
      <c r="C101" s="238" t="str">
        <f>I80</f>
        <v>7e Aller</v>
      </c>
      <c r="D101" s="199"/>
      <c r="H101" s="199"/>
      <c r="I101" s="219"/>
      <c r="J101" s="338"/>
      <c r="K101" s="338"/>
    </row>
    <row r="102" spans="1:11" ht="15" customHeight="1">
      <c r="A102" s="199"/>
      <c r="B102" s="215"/>
      <c r="C102" s="252"/>
      <c r="D102" s="219"/>
      <c r="E102" s="260" t="s">
        <v>466</v>
      </c>
      <c r="F102" s="261"/>
      <c r="G102" s="262"/>
      <c r="H102" s="199"/>
      <c r="I102" s="219"/>
      <c r="J102" s="338"/>
      <c r="K102" s="338"/>
    </row>
    <row r="103" spans="1:11" ht="15" customHeight="1">
      <c r="A103" s="329" t="s">
        <v>405</v>
      </c>
      <c r="B103" s="330" t="str">
        <f>I73</f>
        <v>1er Aller</v>
      </c>
      <c r="C103" s="331" t="s">
        <v>113</v>
      </c>
      <c r="D103" s="199"/>
      <c r="E103" s="263"/>
      <c r="F103" s="264"/>
      <c r="G103" s="265"/>
      <c r="H103" s="199"/>
      <c r="I103" s="219"/>
    </row>
    <row r="104" spans="1:11" ht="15" customHeight="1">
      <c r="A104" s="332"/>
      <c r="B104" s="330" t="str">
        <f>I76</f>
        <v>8e Aller</v>
      </c>
      <c r="C104" s="238" t="str">
        <f>I75</f>
        <v>5e Aller</v>
      </c>
      <c r="D104" s="199"/>
      <c r="E104" s="263"/>
      <c r="F104" s="264"/>
      <c r="G104" s="265"/>
      <c r="H104" s="199"/>
      <c r="I104" s="219"/>
    </row>
    <row r="105" spans="1:11" ht="15" customHeight="1">
      <c r="D105" s="219"/>
      <c r="E105" s="263"/>
      <c r="F105" s="264"/>
      <c r="G105" s="265"/>
      <c r="H105" s="199"/>
      <c r="I105" s="219"/>
    </row>
    <row r="106" spans="1:11" ht="15" customHeight="1">
      <c r="A106" s="329" t="s">
        <v>400</v>
      </c>
      <c r="B106" s="330" t="str">
        <f>I77</f>
        <v>2e Aller</v>
      </c>
      <c r="C106" s="331" t="s">
        <v>113</v>
      </c>
      <c r="D106" s="219"/>
      <c r="E106" s="266"/>
      <c r="F106" s="267"/>
      <c r="G106" s="268"/>
      <c r="H106" s="199"/>
      <c r="I106" s="219"/>
    </row>
    <row r="107" spans="1:11" ht="15" customHeight="1">
      <c r="A107" s="332"/>
      <c r="B107" s="330" t="str">
        <f>I80</f>
        <v>7e Aller</v>
      </c>
      <c r="C107" s="238" t="str">
        <f>I78</f>
        <v>3e Aller</v>
      </c>
      <c r="D107" s="219"/>
      <c r="H107" s="199"/>
      <c r="I107" s="219"/>
    </row>
    <row r="108" spans="1:11">
      <c r="A108" s="230"/>
      <c r="B108" s="230"/>
      <c r="C108" s="230"/>
      <c r="D108" s="219"/>
      <c r="H108" s="199"/>
      <c r="I108" s="219"/>
    </row>
    <row r="109" spans="1:11" ht="15" customHeight="1">
      <c r="A109" s="342" t="s">
        <v>114</v>
      </c>
      <c r="B109" s="343"/>
      <c r="C109" s="343"/>
      <c r="D109" s="343"/>
      <c r="E109" s="343"/>
      <c r="F109" s="343"/>
      <c r="G109" s="344"/>
      <c r="H109" s="199"/>
      <c r="I109" s="225"/>
    </row>
    <row r="110" spans="1:11" ht="15" customHeight="1">
      <c r="A110" s="345"/>
      <c r="B110" s="346"/>
      <c r="C110" s="346"/>
      <c r="D110" s="346"/>
      <c r="E110" s="346"/>
      <c r="F110" s="346"/>
      <c r="G110" s="347"/>
      <c r="H110" s="199"/>
      <c r="I110" s="225"/>
    </row>
    <row r="111" spans="1:11">
      <c r="A111" s="348"/>
      <c r="B111" s="349"/>
      <c r="C111" s="349"/>
      <c r="D111" s="349"/>
      <c r="E111" s="349"/>
      <c r="F111" s="349"/>
      <c r="G111" s="350"/>
      <c r="H111" s="199"/>
      <c r="I111" s="225"/>
    </row>
    <row r="112" spans="1:11">
      <c r="I112" s="225"/>
    </row>
    <row r="113" spans="3:9" ht="15" customHeight="1">
      <c r="C113" s="231" t="s">
        <v>464</v>
      </c>
      <c r="D113" s="232"/>
      <c r="E113" s="232"/>
      <c r="F113" s="233"/>
    </row>
    <row r="114" spans="3:9" ht="15" customHeight="1">
      <c r="C114" s="234" t="s">
        <v>465</v>
      </c>
      <c r="D114" s="235"/>
      <c r="E114" s="235"/>
      <c r="F114" s="236"/>
    </row>
    <row r="115" spans="3:9">
      <c r="G115" s="240"/>
      <c r="I115" s="225"/>
    </row>
    <row r="116" spans="3:9">
      <c r="G116" s="240"/>
      <c r="I116" s="225"/>
    </row>
  </sheetData>
  <mergeCells count="86">
    <mergeCell ref="A59:G59"/>
    <mergeCell ref="A60:G60"/>
    <mergeCell ref="A61:G61"/>
    <mergeCell ref="A62:G62"/>
    <mergeCell ref="A63:C63"/>
    <mergeCell ref="E63:G63"/>
    <mergeCell ref="A64:C64"/>
    <mergeCell ref="E64:G64"/>
    <mergeCell ref="A65:C65"/>
    <mergeCell ref="E65:G65"/>
    <mergeCell ref="A66:C66"/>
    <mergeCell ref="E66:G66"/>
    <mergeCell ref="A67:C67"/>
    <mergeCell ref="E67:G67"/>
    <mergeCell ref="A69:C69"/>
    <mergeCell ref="E69:G69"/>
    <mergeCell ref="B71:C71"/>
    <mergeCell ref="E71:E72"/>
    <mergeCell ref="A73:A74"/>
    <mergeCell ref="E74:E75"/>
    <mergeCell ref="A76:A77"/>
    <mergeCell ref="E77:E78"/>
    <mergeCell ref="A79:A80"/>
    <mergeCell ref="E80:E81"/>
    <mergeCell ref="A82:A83"/>
    <mergeCell ref="E83:E84"/>
    <mergeCell ref="A85:A86"/>
    <mergeCell ref="E86:E87"/>
    <mergeCell ref="A88:A89"/>
    <mergeCell ref="E89:E90"/>
    <mergeCell ref="A91:A92"/>
    <mergeCell ref="E92:E93"/>
    <mergeCell ref="A94:A95"/>
    <mergeCell ref="E95:E96"/>
    <mergeCell ref="A97:A98"/>
    <mergeCell ref="E98:E99"/>
    <mergeCell ref="C114:F114"/>
    <mergeCell ref="A100:A101"/>
    <mergeCell ref="E102:G106"/>
    <mergeCell ref="A103:A104"/>
    <mergeCell ref="A106:A107"/>
    <mergeCell ref="C113:F113"/>
    <mergeCell ref="A109:G111"/>
    <mergeCell ref="E49:E50"/>
    <mergeCell ref="E52:E53"/>
    <mergeCell ref="A55:G55"/>
    <mergeCell ref="C57:F57"/>
    <mergeCell ref="C58:F58"/>
    <mergeCell ref="A43:C47"/>
    <mergeCell ref="E43:E44"/>
    <mergeCell ref="E46:E47"/>
    <mergeCell ref="A24:A25"/>
    <mergeCell ref="E25:E26"/>
    <mergeCell ref="A27:A28"/>
    <mergeCell ref="E28:E29"/>
    <mergeCell ref="A30:A31"/>
    <mergeCell ref="E31:E32"/>
    <mergeCell ref="A33:A34"/>
    <mergeCell ref="E34:E35"/>
    <mergeCell ref="A36:A37"/>
    <mergeCell ref="E37:E38"/>
    <mergeCell ref="E40:E41"/>
    <mergeCell ref="A15:A16"/>
    <mergeCell ref="E16:E17"/>
    <mergeCell ref="A18:A19"/>
    <mergeCell ref="E19:E20"/>
    <mergeCell ref="A21:A22"/>
    <mergeCell ref="E22:E23"/>
    <mergeCell ref="A9:C9"/>
    <mergeCell ref="E9:G9"/>
    <mergeCell ref="A11:C11"/>
    <mergeCell ref="E11:G11"/>
    <mergeCell ref="B13:C13"/>
    <mergeCell ref="E13:E14"/>
    <mergeCell ref="A6:C6"/>
    <mergeCell ref="E6:G6"/>
    <mergeCell ref="A7:C7"/>
    <mergeCell ref="E7:G7"/>
    <mergeCell ref="A8:C8"/>
    <mergeCell ref="E8:G8"/>
    <mergeCell ref="A1:G1"/>
    <mergeCell ref="A2:G2"/>
    <mergeCell ref="A3:G3"/>
    <mergeCell ref="A4:G4"/>
    <mergeCell ref="A5:C5"/>
    <mergeCell ref="E5:G5"/>
  </mergeCells>
  <hyperlinks>
    <hyperlink ref="C114" r:id="rId1" display="fabiocloclo@yahoo.fr / 06.77.96.02.20"/>
    <hyperlink ref="C58" r:id="rId2" display="fabiocloclo@yahoo.fr / 06.77.96.02.20"/>
  </hyperlinks>
  <printOptions horizontalCentered="1" verticalCentered="1"/>
  <pageMargins left="0.39370078740157483" right="0.39370078740157483" top="0.39370078740157483" bottom="0.39370078740157483" header="0.39370078740157483" footer="0.59055118110236227"/>
  <pageSetup paperSize="9" scale="83" fitToHeight="2" orientation="portrait" r:id="rId3"/>
  <headerFooter alignWithMargins="0">
    <oddHeader>&amp;R&amp;G</oddHeader>
    <oddFooter>&amp;C&amp;8© 2017 - Fédération Flying Disc France&amp;R&amp;8&amp;D</oddFooter>
  </headerFooter>
  <rowBreaks count="1" manualBreakCount="1">
    <brk id="58" max="6" man="1"/>
  </rowBreaks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08"/>
  <sheetViews>
    <sheetView view="pageBreakPreview" topLeftCell="A7" zoomScaleNormal="100" zoomScaleSheetLayoutView="100" workbookViewId="0">
      <selection activeCell="J102" sqref="J102"/>
    </sheetView>
  </sheetViews>
  <sheetFormatPr baseColWidth="10" defaultRowHeight="15" outlineLevelRow="1"/>
  <cols>
    <col min="1" max="1" width="22.33203125" style="109" bestFit="1" customWidth="1"/>
    <col min="2" max="2" width="14.109375" style="109" bestFit="1" customWidth="1"/>
    <col min="3" max="4" width="14.6640625" style="109" bestFit="1" customWidth="1"/>
    <col min="5" max="6" width="11.6640625" style="109" customWidth="1"/>
    <col min="7" max="8" width="14.6640625" style="109" bestFit="1" customWidth="1"/>
    <col min="9" max="9" width="13" style="109" customWidth="1"/>
    <col min="10" max="10" width="11.6640625" style="109" customWidth="1"/>
    <col min="11" max="12" width="2.6640625" style="109" customWidth="1"/>
    <col min="13" max="13" width="2.6640625" style="109" bestFit="1" customWidth="1"/>
    <col min="14" max="14" width="5.6640625" style="109" customWidth="1"/>
    <col min="15" max="15" width="16" style="109" bestFit="1" customWidth="1"/>
    <col min="16" max="26" width="11.5546875" style="109"/>
    <col min="27" max="27" width="5.6640625" style="109" customWidth="1"/>
    <col min="28" max="28" width="2.6640625" style="109" bestFit="1" customWidth="1"/>
    <col min="29" max="29" width="2.33203125" style="109" bestFit="1" customWidth="1"/>
    <col min="30" max="16384" width="11.5546875" style="109"/>
  </cols>
  <sheetData>
    <row r="1" spans="1:14">
      <c r="A1" s="107"/>
      <c r="B1" s="108" t="s">
        <v>461</v>
      </c>
    </row>
    <row r="2" spans="1:14">
      <c r="A2" s="107"/>
      <c r="B2" s="108" t="s">
        <v>462</v>
      </c>
    </row>
    <row r="3" spans="1:14">
      <c r="A3" s="181" t="s">
        <v>439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4">
      <c r="A4" s="128" t="s">
        <v>185</v>
      </c>
      <c r="B4" s="110"/>
      <c r="C4" s="110"/>
      <c r="D4" s="110"/>
      <c r="E4" s="110"/>
    </row>
    <row r="5" spans="1:14" outlineLevel="1">
      <c r="A5" s="128"/>
      <c r="B5" s="129" t="s">
        <v>406</v>
      </c>
      <c r="C5" s="180" t="str">
        <f>A6</f>
        <v>A1</v>
      </c>
      <c r="D5" s="180"/>
      <c r="E5" s="180" t="str">
        <f>A7</f>
        <v>A2</v>
      </c>
      <c r="F5" s="180"/>
      <c r="G5" s="180" t="str">
        <f>A8</f>
        <v>A3</v>
      </c>
      <c r="H5" s="180"/>
      <c r="I5" s="180" t="str">
        <f>A9</f>
        <v>A4</v>
      </c>
      <c r="J5" s="180"/>
      <c r="K5" s="112"/>
      <c r="L5" s="113" t="s">
        <v>167</v>
      </c>
      <c r="M5" s="114" t="s">
        <v>168</v>
      </c>
    </row>
    <row r="6" spans="1:14" outlineLevel="1">
      <c r="A6" s="141" t="str">
        <f>'Planning à 4+4'!I15</f>
        <v>A1</v>
      </c>
      <c r="B6" s="130"/>
      <c r="C6" s="131"/>
      <c r="D6" s="131"/>
      <c r="E6" s="132"/>
      <c r="F6" s="132"/>
      <c r="G6" s="132"/>
      <c r="H6" s="132"/>
      <c r="I6" s="132"/>
      <c r="J6" s="132"/>
      <c r="K6" s="112"/>
      <c r="L6" s="115">
        <f>IF(C6&gt;D6,1,0)+IF(E6&gt;F6,1,0)+IF(G6&gt;H6,1,0)+IF(I6&gt;J6,1,0)</f>
        <v>0</v>
      </c>
      <c r="M6" s="114">
        <f>IF(C6&lt;D6,1,0)+IF(E6&lt;F6,1,0)+IF(G6&lt;H6,1,0)+IF(I6&lt;J6,1,0)</f>
        <v>0</v>
      </c>
    </row>
    <row r="7" spans="1:14" outlineLevel="1">
      <c r="A7" s="141" t="str">
        <f>'Planning à 4+4'!I16</f>
        <v>A2</v>
      </c>
      <c r="B7" s="130"/>
      <c r="C7" s="133">
        <f>F6</f>
        <v>0</v>
      </c>
      <c r="D7" s="133">
        <f>E6</f>
        <v>0</v>
      </c>
      <c r="E7" s="131"/>
      <c r="F7" s="131"/>
      <c r="G7" s="132"/>
      <c r="H7" s="132"/>
      <c r="I7" s="132"/>
      <c r="J7" s="132"/>
      <c r="K7" s="112"/>
      <c r="L7" s="115">
        <f t="shared" ref="L7:L9" si="0">IF(C7&gt;D7,1,0)+IF(E7&gt;F7,1,0)+IF(G7&gt;H7,1,0)+IF(I7&gt;J7,1,0)</f>
        <v>0</v>
      </c>
      <c r="M7" s="114">
        <f t="shared" ref="M7:M9" si="1">IF(C7&lt;D7,1,0)+IF(E7&lt;F7,1,0)+IF(G7&lt;H7,1,0)+IF(I7&lt;J7,1,0)</f>
        <v>0</v>
      </c>
    </row>
    <row r="8" spans="1:14" outlineLevel="1">
      <c r="A8" s="141" t="str">
        <f>'Planning à 4+4'!I17</f>
        <v>A3</v>
      </c>
      <c r="B8" s="130"/>
      <c r="C8" s="133">
        <f>H6</f>
        <v>0</v>
      </c>
      <c r="D8" s="133">
        <f>G6</f>
        <v>0</v>
      </c>
      <c r="E8" s="133">
        <f>H7</f>
        <v>0</v>
      </c>
      <c r="F8" s="133">
        <f>G7</f>
        <v>0</v>
      </c>
      <c r="G8" s="131"/>
      <c r="H8" s="131"/>
      <c r="I8" s="132"/>
      <c r="J8" s="132"/>
      <c r="K8" s="112"/>
      <c r="L8" s="115">
        <f t="shared" si="0"/>
        <v>0</v>
      </c>
      <c r="M8" s="114">
        <f t="shared" si="1"/>
        <v>0</v>
      </c>
    </row>
    <row r="9" spans="1:14" outlineLevel="1">
      <c r="A9" s="141" t="str">
        <f>'Planning à 4+4'!I18</f>
        <v>A4</v>
      </c>
      <c r="B9" s="130"/>
      <c r="C9" s="133">
        <f>J6</f>
        <v>0</v>
      </c>
      <c r="D9" s="133">
        <f>I6</f>
        <v>0</v>
      </c>
      <c r="E9" s="133">
        <f>J7</f>
        <v>0</v>
      </c>
      <c r="F9" s="133">
        <f>I7</f>
        <v>0</v>
      </c>
      <c r="G9" s="133">
        <f>J8</f>
        <v>0</v>
      </c>
      <c r="H9" s="133">
        <f>I8</f>
        <v>0</v>
      </c>
      <c r="I9" s="131"/>
      <c r="J9" s="131"/>
      <c r="K9" s="112"/>
      <c r="L9" s="115">
        <f t="shared" si="0"/>
        <v>0</v>
      </c>
      <c r="M9" s="114">
        <f t="shared" si="1"/>
        <v>0</v>
      </c>
    </row>
    <row r="10" spans="1:14" outlineLevel="1">
      <c r="A10" s="116"/>
      <c r="B10" s="111"/>
      <c r="C10" s="111"/>
      <c r="D10" s="111"/>
      <c r="E10" s="111"/>
      <c r="F10" s="111"/>
      <c r="G10" s="128"/>
      <c r="H10" s="128"/>
      <c r="I10" s="128"/>
      <c r="J10" s="128"/>
      <c r="K10" s="144"/>
      <c r="L10" s="144"/>
      <c r="M10" s="128"/>
      <c r="N10" s="128"/>
    </row>
    <row r="11" spans="1:14" outlineLevel="1">
      <c r="A11" s="111"/>
      <c r="B11" s="134" t="s">
        <v>169</v>
      </c>
      <c r="C11" s="135" t="s">
        <v>170</v>
      </c>
      <c r="D11" s="135" t="s">
        <v>171</v>
      </c>
      <c r="E11" s="129" t="s">
        <v>172</v>
      </c>
      <c r="F11" s="136" t="s">
        <v>173</v>
      </c>
      <c r="G11" s="128"/>
      <c r="H11" s="128"/>
      <c r="I11" s="180" t="s">
        <v>206</v>
      </c>
      <c r="J11" s="180"/>
      <c r="K11" s="144"/>
      <c r="L11" s="144"/>
      <c r="M11" s="128"/>
      <c r="N11" s="128"/>
    </row>
    <row r="12" spans="1:14" outlineLevel="1">
      <c r="A12" s="142" t="str">
        <f>A6</f>
        <v>A1</v>
      </c>
      <c r="B12" s="137">
        <f>IF(B6="A",0, IF(B6="F", (L6*2+M6*1),(L6*3+M6*2)))</f>
        <v>0</v>
      </c>
      <c r="C12" s="138">
        <f>C6+E6+G6+I6</f>
        <v>0</v>
      </c>
      <c r="D12" s="138">
        <f>D6+F6+H6+J6</f>
        <v>0</v>
      </c>
      <c r="E12" s="139">
        <f>C12-D12</f>
        <v>0</v>
      </c>
      <c r="F12" s="136">
        <f>RANK(G12,G$12:G$15)</f>
        <v>1</v>
      </c>
      <c r="G12" s="145">
        <f t="shared" ref="G12:G15" si="2">B12+E12/1000</f>
        <v>0</v>
      </c>
      <c r="H12" s="146">
        <v>1</v>
      </c>
      <c r="I12" s="182" t="str">
        <f>IF($A$1="calcul",VLOOKUP(H12,$F$12:$K$15,6,FALSE),"1er A")</f>
        <v>1er A</v>
      </c>
      <c r="J12" s="182"/>
      <c r="K12" s="147" t="str">
        <f>A12</f>
        <v>A1</v>
      </c>
      <c r="L12" s="144"/>
      <c r="M12" s="128"/>
      <c r="N12" s="128"/>
    </row>
    <row r="13" spans="1:14" outlineLevel="1">
      <c r="A13" s="142" t="str">
        <f>A7</f>
        <v>A2</v>
      </c>
      <c r="B13" s="137">
        <f>IF(B7="A",0, IF(B7="F", (L7*2+M7*1),(L7*3+M7*2)))</f>
        <v>0</v>
      </c>
      <c r="C13" s="138">
        <f t="shared" ref="C13:D15" si="3">C7+E7+G7+I7</f>
        <v>0</v>
      </c>
      <c r="D13" s="138">
        <f t="shared" si="3"/>
        <v>0</v>
      </c>
      <c r="E13" s="139">
        <f t="shared" ref="E13:E15" si="4">C13-D13</f>
        <v>0</v>
      </c>
      <c r="F13" s="136">
        <f>RANK(G13,G$12:G$15)</f>
        <v>1</v>
      </c>
      <c r="G13" s="145">
        <f t="shared" si="2"/>
        <v>0</v>
      </c>
      <c r="H13" s="146">
        <v>2</v>
      </c>
      <c r="I13" s="182" t="str">
        <f>IF($A$1="calcul",VLOOKUP(H13,$F$12:$K$15,6,FALSE),"2e A")</f>
        <v>2e A</v>
      </c>
      <c r="J13" s="182"/>
      <c r="K13" s="147" t="str">
        <f>A13</f>
        <v>A2</v>
      </c>
      <c r="L13" s="144"/>
      <c r="M13" s="128"/>
      <c r="N13" s="128"/>
    </row>
    <row r="14" spans="1:14" outlineLevel="1">
      <c r="A14" s="142" t="str">
        <f>A8</f>
        <v>A3</v>
      </c>
      <c r="B14" s="137">
        <f>IF(B8="A",0, IF(B8="F", (L8*2+M8*1),(L8*3+M8*2)))</f>
        <v>0</v>
      </c>
      <c r="C14" s="138">
        <f t="shared" si="3"/>
        <v>0</v>
      </c>
      <c r="D14" s="138">
        <f t="shared" si="3"/>
        <v>0</v>
      </c>
      <c r="E14" s="139">
        <f t="shared" si="4"/>
        <v>0</v>
      </c>
      <c r="F14" s="136">
        <f>RANK(G14,G$12:G$15)</f>
        <v>1</v>
      </c>
      <c r="G14" s="145">
        <f t="shared" si="2"/>
        <v>0</v>
      </c>
      <c r="H14" s="146">
        <v>3</v>
      </c>
      <c r="I14" s="182" t="str">
        <f>IF($A$1="calcul",VLOOKUP(H14,$F$12:$K$15,6,FALSE),"3e A")</f>
        <v>3e A</v>
      </c>
      <c r="J14" s="182"/>
      <c r="K14" s="147" t="str">
        <f>A14</f>
        <v>A3</v>
      </c>
      <c r="L14" s="144"/>
      <c r="M14" s="128"/>
      <c r="N14" s="128"/>
    </row>
    <row r="15" spans="1:14" outlineLevel="1">
      <c r="A15" s="142" t="str">
        <f>A9</f>
        <v>A4</v>
      </c>
      <c r="B15" s="137">
        <f>IF(B9="A",0, IF(B9="F", (L9*2+M9*1),(L9*3+M9*2)))</f>
        <v>0</v>
      </c>
      <c r="C15" s="138">
        <f t="shared" si="3"/>
        <v>0</v>
      </c>
      <c r="D15" s="138">
        <f t="shared" si="3"/>
        <v>0</v>
      </c>
      <c r="E15" s="139">
        <f t="shared" si="4"/>
        <v>0</v>
      </c>
      <c r="F15" s="136">
        <f>RANK(G15,G$12:G$15)</f>
        <v>1</v>
      </c>
      <c r="G15" s="145">
        <f t="shared" si="2"/>
        <v>0</v>
      </c>
      <c r="H15" s="146">
        <v>4</v>
      </c>
      <c r="I15" s="182" t="str">
        <f>IF($A$1="calcul",VLOOKUP(H15,$F$12:$K$15,6,FALSE),"4e A")</f>
        <v>4e A</v>
      </c>
      <c r="J15" s="182"/>
      <c r="K15" s="147" t="str">
        <f>A15</f>
        <v>A4</v>
      </c>
      <c r="L15" s="144"/>
      <c r="M15" s="128"/>
      <c r="N15" s="128"/>
    </row>
    <row r="16" spans="1:14" outlineLevel="1">
      <c r="A16" s="128"/>
      <c r="B16" s="111"/>
      <c r="C16" s="117">
        <f>SUM(C12:C15)</f>
        <v>0</v>
      </c>
      <c r="D16" s="117">
        <f>SUM(D12:D15)</f>
        <v>0</v>
      </c>
      <c r="E16" s="111"/>
      <c r="F16" s="111"/>
      <c r="G16" s="128"/>
      <c r="H16" s="128"/>
      <c r="I16" s="128"/>
      <c r="J16" s="128"/>
      <c r="K16" s="144"/>
      <c r="L16" s="144"/>
      <c r="M16" s="128"/>
      <c r="N16" s="128"/>
    </row>
    <row r="17" spans="1:14">
      <c r="A17" s="128" t="s">
        <v>186</v>
      </c>
      <c r="B17" s="118"/>
      <c r="C17" s="118"/>
      <c r="D17" s="118"/>
      <c r="E17" s="119"/>
      <c r="F17" s="119"/>
      <c r="G17" s="120"/>
      <c r="H17" s="120"/>
      <c r="I17" s="121"/>
      <c r="J17" s="121"/>
      <c r="K17" s="122"/>
      <c r="L17" s="122"/>
      <c r="M17" s="123"/>
      <c r="N17" s="128"/>
    </row>
    <row r="18" spans="1:14" outlineLevel="1">
      <c r="A18" s="128"/>
      <c r="B18" s="129" t="s">
        <v>406</v>
      </c>
      <c r="C18" s="180" t="str">
        <f>A19</f>
        <v>B1</v>
      </c>
      <c r="D18" s="180"/>
      <c r="E18" s="180" t="str">
        <f>A20</f>
        <v>B2</v>
      </c>
      <c r="F18" s="180"/>
      <c r="G18" s="180" t="str">
        <f>A21</f>
        <v>B3</v>
      </c>
      <c r="H18" s="180"/>
      <c r="I18" s="180" t="str">
        <f>A22</f>
        <v>B4</v>
      </c>
      <c r="J18" s="180"/>
      <c r="K18" s="112"/>
      <c r="L18" s="113" t="s">
        <v>167</v>
      </c>
      <c r="M18" s="114" t="s">
        <v>168</v>
      </c>
    </row>
    <row r="19" spans="1:14" outlineLevel="1">
      <c r="A19" s="141" t="str">
        <f>'Planning à 4+4'!I19</f>
        <v>B1</v>
      </c>
      <c r="B19" s="130"/>
      <c r="C19" s="131"/>
      <c r="D19" s="131"/>
      <c r="E19" s="132"/>
      <c r="F19" s="132"/>
      <c r="G19" s="132"/>
      <c r="H19" s="132"/>
      <c r="I19" s="132"/>
      <c r="J19" s="132"/>
      <c r="K19" s="112"/>
      <c r="L19" s="115">
        <f>IF(C19&gt;D19,1,0)+IF(E19&gt;F19,1,0)+IF(G19&gt;H19,1,0)+IF(I19&gt;J19,1,0)</f>
        <v>0</v>
      </c>
      <c r="M19" s="114">
        <f>IF(C19&lt;D19,1,0)+IF(E19&lt;F19,1,0)+IF(G19&lt;H19,1,0)+IF(I19&lt;J19,1,0)</f>
        <v>0</v>
      </c>
    </row>
    <row r="20" spans="1:14" outlineLevel="1">
      <c r="A20" s="141" t="str">
        <f>'Planning à 4+4'!I20</f>
        <v>B2</v>
      </c>
      <c r="B20" s="130"/>
      <c r="C20" s="133">
        <f>F19</f>
        <v>0</v>
      </c>
      <c r="D20" s="133">
        <f>E19</f>
        <v>0</v>
      </c>
      <c r="E20" s="131"/>
      <c r="F20" s="131"/>
      <c r="G20" s="132"/>
      <c r="H20" s="132"/>
      <c r="I20" s="132"/>
      <c r="J20" s="132"/>
      <c r="K20" s="112"/>
      <c r="L20" s="115">
        <f t="shared" ref="L20:L22" si="5">IF(C20&gt;D20,1,0)+IF(E20&gt;F20,1,0)+IF(G20&gt;H20,1,0)+IF(I20&gt;J20,1,0)</f>
        <v>0</v>
      </c>
      <c r="M20" s="114">
        <f t="shared" ref="M20:M22" si="6">IF(C20&lt;D20,1,0)+IF(E20&lt;F20,1,0)+IF(G20&lt;H20,1,0)+IF(I20&lt;J20,1,0)</f>
        <v>0</v>
      </c>
    </row>
    <row r="21" spans="1:14" outlineLevel="1">
      <c r="A21" s="141" t="str">
        <f>'Planning à 4+4'!I21</f>
        <v>B3</v>
      </c>
      <c r="B21" s="130"/>
      <c r="C21" s="133">
        <f>H19</f>
        <v>0</v>
      </c>
      <c r="D21" s="133">
        <f>G19</f>
        <v>0</v>
      </c>
      <c r="E21" s="133">
        <f>H20</f>
        <v>0</v>
      </c>
      <c r="F21" s="133">
        <f>G20</f>
        <v>0</v>
      </c>
      <c r="G21" s="131"/>
      <c r="H21" s="131"/>
      <c r="I21" s="132"/>
      <c r="J21" s="132"/>
      <c r="K21" s="112"/>
      <c r="L21" s="115">
        <f t="shared" si="5"/>
        <v>0</v>
      </c>
      <c r="M21" s="114">
        <f t="shared" si="6"/>
        <v>0</v>
      </c>
    </row>
    <row r="22" spans="1:14" outlineLevel="1">
      <c r="A22" s="141" t="str">
        <f>'Planning à 4+4'!I22</f>
        <v>B4</v>
      </c>
      <c r="B22" s="130"/>
      <c r="C22" s="133">
        <f>J19</f>
        <v>0</v>
      </c>
      <c r="D22" s="133">
        <f>I19</f>
        <v>0</v>
      </c>
      <c r="E22" s="133">
        <f>J20</f>
        <v>0</v>
      </c>
      <c r="F22" s="133">
        <f>I20</f>
        <v>0</v>
      </c>
      <c r="G22" s="133">
        <f>J21</f>
        <v>0</v>
      </c>
      <c r="H22" s="133">
        <f>I21</f>
        <v>0</v>
      </c>
      <c r="I22" s="131"/>
      <c r="J22" s="131"/>
      <c r="K22" s="112"/>
      <c r="L22" s="115">
        <f t="shared" si="5"/>
        <v>0</v>
      </c>
      <c r="M22" s="114">
        <f t="shared" si="6"/>
        <v>0</v>
      </c>
    </row>
    <row r="23" spans="1:14" outlineLevel="1">
      <c r="A23" s="116"/>
      <c r="B23" s="111"/>
      <c r="C23" s="111"/>
      <c r="D23" s="111"/>
      <c r="E23" s="111"/>
      <c r="F23" s="111"/>
      <c r="G23" s="128"/>
      <c r="H23" s="128"/>
      <c r="I23" s="128"/>
      <c r="J23" s="128"/>
      <c r="K23" s="144"/>
      <c r="L23" s="144"/>
      <c r="M23" s="128"/>
      <c r="N23" s="128"/>
    </row>
    <row r="24" spans="1:14" outlineLevel="1">
      <c r="A24" s="111"/>
      <c r="B24" s="134" t="s">
        <v>169</v>
      </c>
      <c r="C24" s="135" t="s">
        <v>170</v>
      </c>
      <c r="D24" s="135" t="s">
        <v>171</v>
      </c>
      <c r="E24" s="129" t="s">
        <v>172</v>
      </c>
      <c r="F24" s="136" t="s">
        <v>173</v>
      </c>
      <c r="G24" s="128"/>
      <c r="H24" s="128"/>
      <c r="I24" s="180" t="s">
        <v>207</v>
      </c>
      <c r="J24" s="180"/>
      <c r="K24" s="144"/>
      <c r="L24" s="144"/>
      <c r="M24" s="128"/>
      <c r="N24" s="128"/>
    </row>
    <row r="25" spans="1:14" outlineLevel="1">
      <c r="A25" s="142" t="str">
        <f>A19</f>
        <v>B1</v>
      </c>
      <c r="B25" s="137">
        <f>IF(B19="A",0, IF(B19="F", (L19*2+M19*1),(L19*3+M19*2)))</f>
        <v>0</v>
      </c>
      <c r="C25" s="138">
        <f>C19+E19+G19+I19</f>
        <v>0</v>
      </c>
      <c r="D25" s="138">
        <f>D19+F19+H19+J19</f>
        <v>0</v>
      </c>
      <c r="E25" s="139">
        <f>C25-D25</f>
        <v>0</v>
      </c>
      <c r="F25" s="136">
        <f>RANK(G25,G$25:G$28)</f>
        <v>1</v>
      </c>
      <c r="G25" s="145">
        <f>B25+E25/1000</f>
        <v>0</v>
      </c>
      <c r="H25" s="146">
        <v>1</v>
      </c>
      <c r="I25" s="182" t="str">
        <f>IF($A$1="calcul",VLOOKUP(H25,$F$25:$K$28,6,FALSE),"1er B")</f>
        <v>1er B</v>
      </c>
      <c r="J25" s="182"/>
      <c r="K25" s="147" t="str">
        <f>A25</f>
        <v>B1</v>
      </c>
      <c r="L25" s="144"/>
      <c r="M25" s="128"/>
      <c r="N25" s="128"/>
    </row>
    <row r="26" spans="1:14" outlineLevel="1">
      <c r="A26" s="142" t="str">
        <f>A20</f>
        <v>B2</v>
      </c>
      <c r="B26" s="137">
        <f>IF(B20="A",0, IF(B20="F", (L20*2+M20*1),(L20*3+M20*2)))</f>
        <v>0</v>
      </c>
      <c r="C26" s="138">
        <f t="shared" ref="C26:D28" si="7">C20+E20+G20+I20</f>
        <v>0</v>
      </c>
      <c r="D26" s="138">
        <f t="shared" si="7"/>
        <v>0</v>
      </c>
      <c r="E26" s="139">
        <f>C26-D26</f>
        <v>0</v>
      </c>
      <c r="F26" s="136">
        <f>RANK(G26,G$25:G$28)</f>
        <v>1</v>
      </c>
      <c r="G26" s="145">
        <f>B26+E26/1000</f>
        <v>0</v>
      </c>
      <c r="H26" s="146">
        <v>2</v>
      </c>
      <c r="I26" s="182" t="str">
        <f>IF($A$1="calcul",VLOOKUP(H26,$F$25:$K$28,6,FALSE),"2e B")</f>
        <v>2e B</v>
      </c>
      <c r="J26" s="182"/>
      <c r="K26" s="147" t="str">
        <f t="shared" ref="K26:K28" si="8">A26</f>
        <v>B2</v>
      </c>
      <c r="L26" s="144"/>
      <c r="M26" s="128"/>
      <c r="N26" s="128"/>
    </row>
    <row r="27" spans="1:14" outlineLevel="1">
      <c r="A27" s="142" t="str">
        <f>A21</f>
        <v>B3</v>
      </c>
      <c r="B27" s="137">
        <f>IF(B21="A",0, IF(B21="F", (L21*2+M21*1),(L21*3+M21*2)))</f>
        <v>0</v>
      </c>
      <c r="C27" s="138">
        <f t="shared" si="7"/>
        <v>0</v>
      </c>
      <c r="D27" s="138">
        <f t="shared" si="7"/>
        <v>0</v>
      </c>
      <c r="E27" s="139">
        <f>C27-D27</f>
        <v>0</v>
      </c>
      <c r="F27" s="136">
        <f>RANK(G27,G$25:G$28)</f>
        <v>1</v>
      </c>
      <c r="G27" s="145">
        <f>B27+E27/1000</f>
        <v>0</v>
      </c>
      <c r="H27" s="146">
        <v>3</v>
      </c>
      <c r="I27" s="182" t="str">
        <f>IF($A$1="calcul",VLOOKUP(H27,$F$25:$K$28,6,FALSE),"3e B")</f>
        <v>3e B</v>
      </c>
      <c r="J27" s="182"/>
      <c r="K27" s="147" t="str">
        <f t="shared" si="8"/>
        <v>B3</v>
      </c>
      <c r="L27" s="144"/>
      <c r="M27" s="128"/>
      <c r="N27" s="128"/>
    </row>
    <row r="28" spans="1:14" outlineLevel="1">
      <c r="A28" s="142" t="str">
        <f>A22</f>
        <v>B4</v>
      </c>
      <c r="B28" s="137">
        <f>IF(B22="A",0, IF(B22="F", (L22*2+M22*1),(L22*3+M22*2)))</f>
        <v>0</v>
      </c>
      <c r="C28" s="138">
        <f t="shared" si="7"/>
        <v>0</v>
      </c>
      <c r="D28" s="138">
        <f t="shared" si="7"/>
        <v>0</v>
      </c>
      <c r="E28" s="139">
        <f>C28-D28</f>
        <v>0</v>
      </c>
      <c r="F28" s="136">
        <f>RANK(G28,G$25:G$28)</f>
        <v>1</v>
      </c>
      <c r="G28" s="145">
        <f>B28+E28/1000</f>
        <v>0</v>
      </c>
      <c r="H28" s="146">
        <v>4</v>
      </c>
      <c r="I28" s="182" t="str">
        <f>IF($A$1="calcul",VLOOKUP(H28,$F$25:$K$28,6,FALSE),"4e B")</f>
        <v>4e B</v>
      </c>
      <c r="J28" s="182"/>
      <c r="K28" s="147" t="str">
        <f t="shared" si="8"/>
        <v>B4</v>
      </c>
      <c r="L28" s="144"/>
      <c r="M28" s="128"/>
      <c r="N28" s="128"/>
    </row>
    <row r="29" spans="1:14" outlineLevel="1">
      <c r="A29" s="111"/>
      <c r="B29" s="111"/>
      <c r="C29" s="117">
        <f>SUM(C25:C28)</f>
        <v>0</v>
      </c>
      <c r="D29" s="117">
        <f>SUM(D25:D28)</f>
        <v>0</v>
      </c>
      <c r="E29" s="111"/>
      <c r="F29" s="111"/>
      <c r="G29" s="128"/>
      <c r="H29" s="128"/>
      <c r="I29" s="128"/>
      <c r="J29" s="128"/>
      <c r="K29" s="144"/>
      <c r="L29" s="144"/>
      <c r="M29" s="128"/>
      <c r="N29" s="128"/>
    </row>
    <row r="30" spans="1:14">
      <c r="A30" s="108" t="s">
        <v>414</v>
      </c>
      <c r="B30" s="121"/>
      <c r="C30" s="124"/>
      <c r="D30" s="124"/>
      <c r="E30" s="121"/>
      <c r="F30" s="121"/>
      <c r="G30" s="121"/>
      <c r="H30" s="121"/>
      <c r="I30" s="121"/>
      <c r="J30" s="121"/>
      <c r="K30" s="121"/>
      <c r="L30" s="121"/>
      <c r="M30" s="121"/>
      <c r="N30" s="128"/>
    </row>
    <row r="31" spans="1:14" outlineLevel="1">
      <c r="A31" s="184" t="s">
        <v>407</v>
      </c>
      <c r="B31" s="183" t="s">
        <v>408</v>
      </c>
      <c r="C31" s="183"/>
      <c r="D31" s="183" t="s">
        <v>409</v>
      </c>
      <c r="E31" s="183"/>
      <c r="F31" s="185"/>
      <c r="G31" s="185"/>
      <c r="H31" s="185"/>
      <c r="I31" s="185"/>
      <c r="J31" s="121"/>
      <c r="K31" s="125"/>
      <c r="L31" s="125"/>
      <c r="M31" s="125"/>
    </row>
    <row r="32" spans="1:14" outlineLevel="1">
      <c r="A32" s="184"/>
      <c r="B32" s="140" t="str">
        <f>I13</f>
        <v>2e A</v>
      </c>
      <c r="C32" s="140" t="str">
        <f>I27</f>
        <v>3e B</v>
      </c>
      <c r="D32" s="140" t="str">
        <f>I26</f>
        <v>2e B</v>
      </c>
      <c r="E32" s="140" t="str">
        <f>I14</f>
        <v>3e A</v>
      </c>
      <c r="F32" s="185"/>
      <c r="G32" s="185"/>
      <c r="H32" s="185"/>
      <c r="I32" s="185"/>
      <c r="J32" s="121"/>
      <c r="K32" s="125"/>
      <c r="L32" s="125"/>
      <c r="M32" s="125"/>
    </row>
    <row r="33" spans="1:15" outlineLevel="1">
      <c r="A33" s="184"/>
      <c r="B33" s="143"/>
      <c r="C33" s="143"/>
      <c r="D33" s="143"/>
      <c r="E33" s="143"/>
      <c r="F33" s="185"/>
      <c r="G33" s="185"/>
      <c r="H33" s="185"/>
      <c r="I33" s="185"/>
      <c r="J33" s="121"/>
      <c r="K33" s="125"/>
      <c r="L33" s="125"/>
      <c r="M33" s="125"/>
    </row>
    <row r="34" spans="1:15" outlineLevel="1">
      <c r="A34" s="184" t="s">
        <v>175</v>
      </c>
      <c r="B34" s="183" t="s">
        <v>410</v>
      </c>
      <c r="C34" s="183"/>
      <c r="D34" s="183" t="s">
        <v>411</v>
      </c>
      <c r="E34" s="183"/>
      <c r="F34" s="183" t="s">
        <v>412</v>
      </c>
      <c r="G34" s="183"/>
      <c r="H34" s="183" t="s">
        <v>413</v>
      </c>
      <c r="I34" s="183"/>
      <c r="J34" s="121"/>
      <c r="K34" s="121"/>
      <c r="L34" s="121"/>
      <c r="M34" s="121"/>
    </row>
    <row r="35" spans="1:15" outlineLevel="1">
      <c r="A35" s="184"/>
      <c r="B35" s="140" t="str">
        <f>I12</f>
        <v>1er A</v>
      </c>
      <c r="C35" s="130" t="str">
        <f>IF($A$1="","Vainqueur C-O 2",IF(D33&gt;E33,D32,E32))</f>
        <v>Vainqueur C-O 2</v>
      </c>
      <c r="D35" s="130" t="str">
        <f>IF($A$1="","Vainqueur C-O 1",IF(B33&gt;C33,B32,C32))</f>
        <v>Vainqueur C-O 1</v>
      </c>
      <c r="E35" s="140" t="str">
        <f>I25</f>
        <v>1er B</v>
      </c>
      <c r="F35" s="140" t="str">
        <f>I28</f>
        <v>4e B</v>
      </c>
      <c r="G35" s="130" t="str">
        <f>IF($A$1="","Perdant C-O 2",IF(D33&lt;E33,D32,E32))</f>
        <v>Perdant C-O 2</v>
      </c>
      <c r="H35" s="130" t="str">
        <f>IF($A$1="","Perdant C-O 1",IF(B33&lt;C33,B32,C32))</f>
        <v>Perdant C-O 1</v>
      </c>
      <c r="I35" s="140" t="str">
        <f>I15</f>
        <v>4e A</v>
      </c>
      <c r="J35" s="126"/>
      <c r="K35" s="121"/>
      <c r="L35" s="121"/>
      <c r="M35" s="121"/>
    </row>
    <row r="36" spans="1:15" outlineLevel="1">
      <c r="A36" s="184"/>
      <c r="B36" s="143"/>
      <c r="C36" s="143"/>
      <c r="D36" s="143"/>
      <c r="E36" s="143"/>
      <c r="F36" s="130"/>
      <c r="G36" s="130"/>
      <c r="H36" s="143"/>
      <c r="I36" s="143"/>
      <c r="J36" s="127"/>
      <c r="K36" s="121"/>
      <c r="L36" s="121"/>
      <c r="M36" s="121"/>
    </row>
    <row r="37" spans="1:15" outlineLevel="1">
      <c r="A37" s="184" t="s">
        <v>174</v>
      </c>
      <c r="B37" s="183" t="s">
        <v>177</v>
      </c>
      <c r="C37" s="183"/>
      <c r="D37" s="183" t="s">
        <v>178</v>
      </c>
      <c r="E37" s="183"/>
      <c r="F37" s="183" t="s">
        <v>179</v>
      </c>
      <c r="G37" s="183"/>
      <c r="H37" s="183"/>
      <c r="I37" s="183"/>
      <c r="J37" s="121"/>
      <c r="K37" s="121"/>
      <c r="L37" s="121"/>
      <c r="M37" s="121"/>
    </row>
    <row r="38" spans="1:15" outlineLevel="1">
      <c r="A38" s="184"/>
      <c r="B38" s="130" t="str">
        <f>IF($A$1="","Perdant 1/2 1",IF(B36&lt;C36,B35,C35))</f>
        <v>Perdant 1/2 1</v>
      </c>
      <c r="C38" s="130" t="str">
        <f>IF($A$1="","Perdant 1/2 2",IF(D36&lt;E36,D35,E35))</f>
        <v>Perdant 1/2 2</v>
      </c>
      <c r="D38" s="130" t="str">
        <f>IF($A$1="","Vainqueur 1/2 3",IF(F36&gt;G36,F35,G35))</f>
        <v>Vainqueur 1/2 3</v>
      </c>
      <c r="E38" s="130" t="str">
        <f>IF($A$1="","Vainqueur 1/2 4",IF(H36&gt;I36,H35,I35))</f>
        <v>Vainqueur 1/2 4</v>
      </c>
      <c r="F38" s="130" t="str">
        <f>IF($A$1="","Perdant 1/2 3",IF(F36&lt;G36,F35,G35))</f>
        <v>Perdant 1/2 3</v>
      </c>
      <c r="G38" s="130" t="str">
        <f>IF($A$1="","Perdant 1/2 4",IF(H36&lt;I36,H35,I35))</f>
        <v>Perdant 1/2 4</v>
      </c>
      <c r="H38" s="183"/>
      <c r="I38" s="183"/>
      <c r="J38" s="121"/>
      <c r="K38" s="121"/>
      <c r="L38" s="121"/>
      <c r="M38" s="121"/>
    </row>
    <row r="39" spans="1:15" outlineLevel="1">
      <c r="A39" s="184"/>
      <c r="B39" s="143"/>
      <c r="C39" s="143"/>
      <c r="D39" s="143"/>
      <c r="E39" s="143"/>
      <c r="F39" s="143"/>
      <c r="G39" s="143"/>
      <c r="H39" s="183"/>
      <c r="I39" s="183"/>
      <c r="J39" s="121"/>
      <c r="K39" s="125"/>
      <c r="L39" s="125"/>
      <c r="M39" s="125"/>
    </row>
    <row r="40" spans="1:15" outlineLevel="1">
      <c r="A40" s="184"/>
      <c r="B40" s="183" t="s">
        <v>176</v>
      </c>
      <c r="C40" s="183"/>
      <c r="D40" s="186"/>
      <c r="E40" s="186"/>
      <c r="F40" s="186"/>
      <c r="G40" s="186"/>
      <c r="H40" s="186"/>
      <c r="I40" s="186"/>
      <c r="J40" s="121"/>
      <c r="K40" s="122"/>
      <c r="L40" s="122"/>
      <c r="M40" s="123"/>
    </row>
    <row r="41" spans="1:15" outlineLevel="1">
      <c r="A41" s="184"/>
      <c r="B41" s="130" t="str">
        <f>IF($A$1="","Vainqueur 1/2 1",IF(B36&gt;C36,B35,C35))</f>
        <v>Vainqueur 1/2 1</v>
      </c>
      <c r="C41" s="130" t="str">
        <f>IF($A$1="","Vainqueur 1/2 2",IF(D36&gt;E36,D35,E35))</f>
        <v>Vainqueur 1/2 2</v>
      </c>
      <c r="D41" s="186"/>
      <c r="E41" s="186"/>
      <c r="F41" s="186"/>
      <c r="G41" s="186"/>
      <c r="H41" s="186"/>
      <c r="I41" s="186"/>
      <c r="J41" s="121"/>
      <c r="K41" s="122"/>
      <c r="L41" s="122"/>
      <c r="M41" s="123"/>
    </row>
    <row r="42" spans="1:15" outlineLevel="1">
      <c r="A42" s="184"/>
      <c r="B42" s="143"/>
      <c r="C42" s="143"/>
      <c r="D42" s="186"/>
      <c r="E42" s="186"/>
      <c r="F42" s="186"/>
      <c r="G42" s="186"/>
      <c r="H42" s="186"/>
      <c r="I42" s="186"/>
      <c r="J42" s="121"/>
      <c r="K42" s="122"/>
      <c r="L42" s="122"/>
      <c r="M42" s="123"/>
    </row>
    <row r="43" spans="1:15" outlineLevel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8"/>
      <c r="O43" s="128"/>
    </row>
    <row r="44" spans="1:15" outlineLevel="1">
      <c r="A44" s="128"/>
      <c r="B44" s="128"/>
      <c r="C44" s="180" t="s">
        <v>414</v>
      </c>
      <c r="D44" s="180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outlineLevel="1">
      <c r="A45" s="128"/>
      <c r="B45" s="130">
        <v>1</v>
      </c>
      <c r="C45" s="182" t="str">
        <f>IF($A$1="calcul",IF(B42&gt;C42,B41,C41),"1er Aller")</f>
        <v>1er Aller</v>
      </c>
      <c r="D45" s="182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outlineLevel="1">
      <c r="A46" s="128"/>
      <c r="B46" s="130">
        <v>2</v>
      </c>
      <c r="C46" s="182" t="str">
        <f>IF($A$1="calcul",IF(B42&lt;C42,B41,C41),"2e Aller")</f>
        <v>2e Aller</v>
      </c>
      <c r="D46" s="182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outlineLevel="1">
      <c r="A47" s="128"/>
      <c r="B47" s="130">
        <v>3</v>
      </c>
      <c r="C47" s="182" t="str">
        <f>IF($A$1="calcul",IF(B39&gt;C39,B38,C38),"3e Aller")</f>
        <v>3e Aller</v>
      </c>
      <c r="D47" s="182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1:15" outlineLevel="1">
      <c r="A48" s="128"/>
      <c r="B48" s="130">
        <v>4</v>
      </c>
      <c r="C48" s="182" t="str">
        <f>IF($A$1="calcul",IF(B39&lt;C39,B38,C38),"4e Aller")</f>
        <v>4e Aller</v>
      </c>
      <c r="D48" s="182"/>
      <c r="E48" s="121"/>
      <c r="F48" s="128"/>
      <c r="G48" s="128"/>
      <c r="H48" s="128"/>
      <c r="I48" s="128"/>
      <c r="J48" s="128"/>
      <c r="K48" s="128"/>
      <c r="L48" s="128"/>
      <c r="M48" s="128"/>
      <c r="N48" s="128"/>
      <c r="O48" s="128"/>
    </row>
    <row r="49" spans="1:15" outlineLevel="1">
      <c r="A49" s="128"/>
      <c r="B49" s="130">
        <v>5</v>
      </c>
      <c r="C49" s="182" t="str">
        <f>IF($A$1="calcul",IF(D39&gt;E39,D38,E38),"5e Aller")</f>
        <v>5e Aller</v>
      </c>
      <c r="D49" s="182"/>
      <c r="E49" s="121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1:15" outlineLevel="1">
      <c r="A50" s="128"/>
      <c r="B50" s="130">
        <v>6</v>
      </c>
      <c r="C50" s="182" t="str">
        <f>IF($A$1="calcul",IF(D39&lt;E39,D38,E38),"6e Aller")</f>
        <v>6e Aller</v>
      </c>
      <c r="D50" s="182"/>
      <c r="E50" s="121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1:15" outlineLevel="1">
      <c r="A51" s="128"/>
      <c r="B51" s="130">
        <v>7</v>
      </c>
      <c r="C51" s="182" t="str">
        <f>IF($A$1="calcul",IF(F39&gt;G39,F38,G38),"7e Aller")</f>
        <v>7e Aller</v>
      </c>
      <c r="D51" s="182"/>
      <c r="E51" s="121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outlineLevel="1">
      <c r="A52" s="128"/>
      <c r="B52" s="130">
        <v>8</v>
      </c>
      <c r="C52" s="182" t="str">
        <f>IF($A$1="calcul",IF(F39&lt;G39,F38,G38),"8e Aller")</f>
        <v>8e Aller</v>
      </c>
      <c r="D52" s="182"/>
      <c r="E52" s="121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1:15" outlineLevel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1:15">
      <c r="A54" s="187" t="s">
        <v>440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28"/>
      <c r="O54" s="128"/>
    </row>
    <row r="55" spans="1:15">
      <c r="A55" s="128" t="s">
        <v>185</v>
      </c>
      <c r="B55" s="148"/>
      <c r="C55" s="148"/>
      <c r="D55" s="148"/>
      <c r="E55" s="14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1:15" outlineLevel="1">
      <c r="A56" s="111"/>
      <c r="B56" s="129" t="s">
        <v>406</v>
      </c>
      <c r="C56" s="180" t="str">
        <f>A57</f>
        <v>1er Aller</v>
      </c>
      <c r="D56" s="180"/>
      <c r="E56" s="180" t="str">
        <f>A58</f>
        <v>4e Aller</v>
      </c>
      <c r="F56" s="180"/>
      <c r="G56" s="180" t="str">
        <f>A59</f>
        <v>5e Aller</v>
      </c>
      <c r="H56" s="180"/>
      <c r="I56" s="180" t="str">
        <f>A60</f>
        <v>8e Aller</v>
      </c>
      <c r="J56" s="180"/>
      <c r="K56" s="112"/>
      <c r="L56" s="113" t="s">
        <v>167</v>
      </c>
      <c r="M56" s="114" t="s">
        <v>168</v>
      </c>
    </row>
    <row r="57" spans="1:15" outlineLevel="1">
      <c r="A57" s="141" t="str">
        <f>C45</f>
        <v>1er Aller</v>
      </c>
      <c r="B57" s="130"/>
      <c r="C57" s="131"/>
      <c r="D57" s="131"/>
      <c r="E57" s="132"/>
      <c r="F57" s="132"/>
      <c r="G57" s="132"/>
      <c r="H57" s="132"/>
      <c r="I57" s="132"/>
      <c r="J57" s="132"/>
      <c r="K57" s="112"/>
      <c r="L57" s="115">
        <f>IF(C57&gt;D57,1,0)+IF(E57&gt;F57,1,0)+IF(G57&gt;H57,1,0)+IF(I57&gt;J57,1,0)</f>
        <v>0</v>
      </c>
      <c r="M57" s="114">
        <f>IF(C57&lt;D57,1,0)+IF(E57&lt;F57,1,0)+IF(G57&lt;H57,1,0)+IF(I57&lt;J57,1,0)</f>
        <v>0</v>
      </c>
    </row>
    <row r="58" spans="1:15" outlineLevel="1">
      <c r="A58" s="141" t="str">
        <f>C48</f>
        <v>4e Aller</v>
      </c>
      <c r="B58" s="130"/>
      <c r="C58" s="133">
        <f>F57</f>
        <v>0</v>
      </c>
      <c r="D58" s="133">
        <f>E57</f>
        <v>0</v>
      </c>
      <c r="E58" s="131"/>
      <c r="F58" s="131"/>
      <c r="G58" s="132"/>
      <c r="H58" s="132"/>
      <c r="I58" s="132"/>
      <c r="J58" s="132"/>
      <c r="K58" s="112"/>
      <c r="L58" s="115">
        <f>IF(C58&gt;D58,1,0)+IF(E58&gt;F58,1,0)+IF(G58&gt;H58,1,0)+IF(I58&gt;J58,1,0)</f>
        <v>0</v>
      </c>
      <c r="M58" s="114">
        <f>IF(C58&lt;D58,1,0)+IF(E58&lt;F58,1,0)+IF(G58&lt;H58,1,0)+IF(I58&lt;J58,1,0)</f>
        <v>0</v>
      </c>
    </row>
    <row r="59" spans="1:15" outlineLevel="1">
      <c r="A59" s="141" t="str">
        <f>C49</f>
        <v>5e Aller</v>
      </c>
      <c r="B59" s="130"/>
      <c r="C59" s="133">
        <f>H57</f>
        <v>0</v>
      </c>
      <c r="D59" s="133">
        <f>G57</f>
        <v>0</v>
      </c>
      <c r="E59" s="133">
        <f>H58</f>
        <v>0</v>
      </c>
      <c r="F59" s="133">
        <f>G58</f>
        <v>0</v>
      </c>
      <c r="G59" s="131"/>
      <c r="H59" s="131"/>
      <c r="I59" s="132"/>
      <c r="J59" s="132"/>
      <c r="K59" s="112"/>
      <c r="L59" s="115">
        <f>IF(C59&gt;D59,1,0)+IF(E59&gt;F59,1,0)+IF(G59&gt;H59,1,0)+IF(I59&gt;J59,1,0)</f>
        <v>0</v>
      </c>
      <c r="M59" s="114">
        <f>IF(C59&lt;D59,1,0)+IF(E59&lt;F59,1,0)+IF(G59&lt;H59,1,0)+IF(I59&lt;J59,1,0)</f>
        <v>0</v>
      </c>
    </row>
    <row r="60" spans="1:15" outlineLevel="1">
      <c r="A60" s="141" t="str">
        <f>C52</f>
        <v>8e Aller</v>
      </c>
      <c r="B60" s="130"/>
      <c r="C60" s="133">
        <f>J57</f>
        <v>0</v>
      </c>
      <c r="D60" s="133">
        <f>I57</f>
        <v>0</v>
      </c>
      <c r="E60" s="133">
        <f>J58</f>
        <v>0</v>
      </c>
      <c r="F60" s="133">
        <f>I58</f>
        <v>0</v>
      </c>
      <c r="G60" s="133">
        <f>J59</f>
        <v>0</v>
      </c>
      <c r="H60" s="133">
        <f>I59</f>
        <v>0</v>
      </c>
      <c r="I60" s="131"/>
      <c r="J60" s="131"/>
      <c r="K60" s="112"/>
      <c r="L60" s="115">
        <f>IF(C60&gt;D60,1,0)+IF(E60&gt;F60,1,0)+IF(G60&gt;H60,1,0)+IF(I60&gt;J60,1,0)</f>
        <v>0</v>
      </c>
      <c r="M60" s="114">
        <f>IF(C60&lt;D60,1,0)+IF(E60&lt;F60,1,0)+IF(G60&lt;H60,1,0)+IF(I60&lt;J60,1,0)</f>
        <v>0</v>
      </c>
    </row>
    <row r="61" spans="1:15" outlineLevel="1">
      <c r="A61" s="116"/>
      <c r="B61" s="111"/>
      <c r="C61" s="111"/>
      <c r="D61" s="111"/>
      <c r="E61" s="111"/>
      <c r="F61" s="111"/>
      <c r="G61" s="128"/>
      <c r="H61" s="128"/>
      <c r="I61" s="128"/>
      <c r="J61" s="128"/>
      <c r="K61" s="144"/>
      <c r="L61" s="144"/>
      <c r="M61" s="128"/>
      <c r="N61" s="128"/>
      <c r="O61" s="128"/>
    </row>
    <row r="62" spans="1:15" outlineLevel="1">
      <c r="A62" s="111"/>
      <c r="B62" s="134" t="s">
        <v>169</v>
      </c>
      <c r="C62" s="135" t="s">
        <v>170</v>
      </c>
      <c r="D62" s="135" t="s">
        <v>171</v>
      </c>
      <c r="E62" s="129" t="s">
        <v>172</v>
      </c>
      <c r="F62" s="136" t="s">
        <v>173</v>
      </c>
      <c r="G62" s="128"/>
      <c r="H62" s="128"/>
      <c r="I62" s="180" t="s">
        <v>206</v>
      </c>
      <c r="J62" s="180"/>
      <c r="K62" s="144"/>
      <c r="L62" s="144"/>
      <c r="M62" s="128"/>
      <c r="N62" s="128"/>
      <c r="O62" s="128"/>
    </row>
    <row r="63" spans="1:15" outlineLevel="1">
      <c r="A63" s="142" t="str">
        <f>A57</f>
        <v>1er Aller</v>
      </c>
      <c r="B63" s="137">
        <f>IF(B57="A",0, IF(B57="F", (L57*2+M57*1),(L57*3+M57*2)))</f>
        <v>0</v>
      </c>
      <c r="C63" s="138">
        <f t="shared" ref="C63:D66" si="9">C57+E57+G57+I57</f>
        <v>0</v>
      </c>
      <c r="D63" s="138">
        <f t="shared" si="9"/>
        <v>0</v>
      </c>
      <c r="E63" s="139">
        <f>C63-D63</f>
        <v>0</v>
      </c>
      <c r="F63" s="136">
        <f>RANK(G63,G$63:G$66)</f>
        <v>1</v>
      </c>
      <c r="G63" s="145">
        <f>B63+E63/1000</f>
        <v>0</v>
      </c>
      <c r="H63" s="146">
        <v>1</v>
      </c>
      <c r="I63" s="182" t="str">
        <f>IF(A2="calcul",VLOOKUP(H63,$F$63:$K$66,6,FALSE),"1er A")</f>
        <v>1er A</v>
      </c>
      <c r="J63" s="182"/>
      <c r="K63" s="147" t="str">
        <f>A63</f>
        <v>1er Aller</v>
      </c>
      <c r="L63" s="144"/>
      <c r="M63" s="128"/>
      <c r="N63" s="128"/>
      <c r="O63" s="128"/>
    </row>
    <row r="64" spans="1:15" outlineLevel="1">
      <c r="A64" s="142" t="str">
        <f>A58</f>
        <v>4e Aller</v>
      </c>
      <c r="B64" s="137">
        <f>IF(B58="A",0, IF(B58="F", (L58*2+M58*1),(L58*3+M58*2)))</f>
        <v>0</v>
      </c>
      <c r="C64" s="138">
        <f t="shared" si="9"/>
        <v>0</v>
      </c>
      <c r="D64" s="138">
        <f t="shared" si="9"/>
        <v>0</v>
      </c>
      <c r="E64" s="139">
        <f>C64-D64</f>
        <v>0</v>
      </c>
      <c r="F64" s="136">
        <f>RANK(G64,G$63:G$66)</f>
        <v>1</v>
      </c>
      <c r="G64" s="145">
        <f>B64+E64/1000</f>
        <v>0</v>
      </c>
      <c r="H64" s="146">
        <v>2</v>
      </c>
      <c r="I64" s="182" t="str">
        <f>IF(A2="calcul",VLOOKUP(H64,$F$63:$K$66,6,FALSE),"2e A")</f>
        <v>2e A</v>
      </c>
      <c r="J64" s="182"/>
      <c r="K64" s="147" t="str">
        <f>A64</f>
        <v>4e Aller</v>
      </c>
      <c r="L64" s="144"/>
      <c r="M64" s="128"/>
      <c r="N64" s="128"/>
      <c r="O64" s="128"/>
    </row>
    <row r="65" spans="1:15" outlineLevel="1">
      <c r="A65" s="142" t="str">
        <f>A59</f>
        <v>5e Aller</v>
      </c>
      <c r="B65" s="137">
        <f>IF(B59="A",0, IF(B59="F", (L59*2+M59*1),(L59*3+M59*2)))</f>
        <v>0</v>
      </c>
      <c r="C65" s="138">
        <f t="shared" si="9"/>
        <v>0</v>
      </c>
      <c r="D65" s="138">
        <f t="shared" si="9"/>
        <v>0</v>
      </c>
      <c r="E65" s="139">
        <f>C65-D65</f>
        <v>0</v>
      </c>
      <c r="F65" s="136">
        <f>RANK(G65,G$63:G$66)</f>
        <v>1</v>
      </c>
      <c r="G65" s="145">
        <f>B65+E65/1000</f>
        <v>0</v>
      </c>
      <c r="H65" s="146">
        <v>3</v>
      </c>
      <c r="I65" s="182" t="str">
        <f>IF(A2="calcul",VLOOKUP(H65,$F$63:$K$66,6,FALSE),"3e A")</f>
        <v>3e A</v>
      </c>
      <c r="J65" s="182"/>
      <c r="K65" s="147" t="str">
        <f>A65</f>
        <v>5e Aller</v>
      </c>
      <c r="L65" s="144"/>
      <c r="M65" s="128"/>
      <c r="N65" s="128"/>
      <c r="O65" s="128"/>
    </row>
    <row r="66" spans="1:15" outlineLevel="1">
      <c r="A66" s="142" t="str">
        <f>A60</f>
        <v>8e Aller</v>
      </c>
      <c r="B66" s="137">
        <f>IF(B60="A",0, IF(B60="F", (L60*2+M60*1),(L60*3+M60*2)))</f>
        <v>0</v>
      </c>
      <c r="C66" s="138">
        <f t="shared" si="9"/>
        <v>0</v>
      </c>
      <c r="D66" s="138">
        <f t="shared" si="9"/>
        <v>0</v>
      </c>
      <c r="E66" s="139">
        <f>C66-D66</f>
        <v>0</v>
      </c>
      <c r="F66" s="136">
        <f>RANK(G66,G$63:G$66)</f>
        <v>1</v>
      </c>
      <c r="G66" s="145">
        <f>B66+E66/1000</f>
        <v>0</v>
      </c>
      <c r="H66" s="146">
        <v>4</v>
      </c>
      <c r="I66" s="182" t="str">
        <f>IF(A2="calcul",VLOOKUP(H66,$F$63:$K$66,6,FALSE),"4e A")</f>
        <v>4e A</v>
      </c>
      <c r="J66" s="182"/>
      <c r="K66" s="147" t="str">
        <f>A66</f>
        <v>8e Aller</v>
      </c>
      <c r="L66" s="144"/>
      <c r="M66" s="128"/>
      <c r="N66" s="128"/>
      <c r="O66" s="128"/>
    </row>
    <row r="67" spans="1:15" outlineLevel="1">
      <c r="A67" s="111"/>
      <c r="B67" s="111"/>
      <c r="C67" s="117">
        <f>SUM(C63:C66)</f>
        <v>0</v>
      </c>
      <c r="D67" s="117">
        <f>SUM(D63:D66)</f>
        <v>0</v>
      </c>
      <c r="E67" s="111"/>
      <c r="F67" s="111"/>
      <c r="G67" s="128"/>
      <c r="H67" s="128"/>
      <c r="I67" s="128"/>
      <c r="J67" s="128"/>
      <c r="K67" s="144"/>
      <c r="L67" s="144"/>
      <c r="M67" s="128"/>
      <c r="N67" s="128"/>
      <c r="O67" s="128"/>
    </row>
    <row r="68" spans="1:15">
      <c r="A68" s="109" t="s">
        <v>186</v>
      </c>
      <c r="B68" s="118"/>
      <c r="C68" s="118"/>
      <c r="D68" s="118"/>
      <c r="E68" s="119"/>
      <c r="F68" s="119"/>
      <c r="G68" s="120"/>
      <c r="H68" s="120"/>
      <c r="I68" s="121"/>
      <c r="J68" s="121"/>
      <c r="K68" s="122"/>
      <c r="L68" s="122"/>
      <c r="M68" s="123"/>
    </row>
    <row r="69" spans="1:15" outlineLevel="1">
      <c r="A69" s="111"/>
      <c r="B69" s="129" t="s">
        <v>406</v>
      </c>
      <c r="C69" s="180" t="str">
        <f>A70</f>
        <v>2e Aller</v>
      </c>
      <c r="D69" s="180"/>
      <c r="E69" s="180" t="str">
        <f>A71</f>
        <v>3e Aller</v>
      </c>
      <c r="F69" s="180"/>
      <c r="G69" s="180" t="str">
        <f>A72</f>
        <v>6e Aller</v>
      </c>
      <c r="H69" s="180"/>
      <c r="I69" s="180" t="str">
        <f>A73</f>
        <v>7e Aller</v>
      </c>
      <c r="J69" s="180"/>
      <c r="K69" s="112"/>
      <c r="L69" s="113" t="s">
        <v>167</v>
      </c>
      <c r="M69" s="114" t="s">
        <v>168</v>
      </c>
    </row>
    <row r="70" spans="1:15" outlineLevel="1">
      <c r="A70" s="141" t="str">
        <f>C46</f>
        <v>2e Aller</v>
      </c>
      <c r="B70" s="130"/>
      <c r="C70" s="131"/>
      <c r="D70" s="131"/>
      <c r="E70" s="132"/>
      <c r="F70" s="132"/>
      <c r="G70" s="132"/>
      <c r="H70" s="132"/>
      <c r="I70" s="132"/>
      <c r="J70" s="132"/>
      <c r="K70" s="112"/>
      <c r="L70" s="115">
        <f>IF(C70&gt;D70,1,0)+IF(E70&gt;F70,1,0)+IF(G70&gt;H70,1,0)+IF(I70&gt;J70,1,0)</f>
        <v>0</v>
      </c>
      <c r="M70" s="114">
        <f>IF(C70&lt;D70,1,0)+IF(E70&lt;F70,1,0)+IF(G70&lt;H70,1,0)+IF(I70&lt;J70,1,0)</f>
        <v>0</v>
      </c>
    </row>
    <row r="71" spans="1:15" outlineLevel="1">
      <c r="A71" s="141" t="str">
        <f>C47</f>
        <v>3e Aller</v>
      </c>
      <c r="B71" s="130"/>
      <c r="C71" s="133">
        <f>F70</f>
        <v>0</v>
      </c>
      <c r="D71" s="133">
        <f>E70</f>
        <v>0</v>
      </c>
      <c r="E71" s="131"/>
      <c r="F71" s="131"/>
      <c r="G71" s="132"/>
      <c r="H71" s="132"/>
      <c r="I71" s="132"/>
      <c r="J71" s="132"/>
      <c r="K71" s="112"/>
      <c r="L71" s="115">
        <f>IF(C71&gt;D71,1,0)+IF(E71&gt;F71,1,0)+IF(G71&gt;H71,1,0)+IF(I71&gt;J71,1,0)</f>
        <v>0</v>
      </c>
      <c r="M71" s="114">
        <f>IF(C71&lt;D71,1,0)+IF(E71&lt;F71,1,0)+IF(G71&lt;H71,1,0)+IF(I71&lt;J71,1,0)</f>
        <v>0</v>
      </c>
    </row>
    <row r="72" spans="1:15" outlineLevel="1">
      <c r="A72" s="141" t="str">
        <f>C50</f>
        <v>6e Aller</v>
      </c>
      <c r="B72" s="130"/>
      <c r="C72" s="133">
        <f>H70</f>
        <v>0</v>
      </c>
      <c r="D72" s="133">
        <f>G70</f>
        <v>0</v>
      </c>
      <c r="E72" s="133">
        <f>H71</f>
        <v>0</v>
      </c>
      <c r="F72" s="133">
        <f>G71</f>
        <v>0</v>
      </c>
      <c r="G72" s="131"/>
      <c r="H72" s="131"/>
      <c r="I72" s="132"/>
      <c r="J72" s="132"/>
      <c r="K72" s="112"/>
      <c r="L72" s="115">
        <f>IF(C72&gt;D72,1,0)+IF(E72&gt;F72,1,0)+IF(G72&gt;H72,1,0)+IF(I72&gt;J72,1,0)</f>
        <v>0</v>
      </c>
      <c r="M72" s="114">
        <f>IF(C72&lt;D72,1,0)+IF(E72&lt;F72,1,0)+IF(G72&lt;H72,1,0)+IF(I72&lt;J72,1,0)</f>
        <v>0</v>
      </c>
    </row>
    <row r="73" spans="1:15" outlineLevel="1">
      <c r="A73" s="141" t="str">
        <f>C51</f>
        <v>7e Aller</v>
      </c>
      <c r="B73" s="130"/>
      <c r="C73" s="133">
        <f>J70</f>
        <v>0</v>
      </c>
      <c r="D73" s="133">
        <f>I70</f>
        <v>0</v>
      </c>
      <c r="E73" s="133">
        <f>J71</f>
        <v>0</v>
      </c>
      <c r="F73" s="133">
        <f>I71</f>
        <v>0</v>
      </c>
      <c r="G73" s="133">
        <f>J72</f>
        <v>0</v>
      </c>
      <c r="H73" s="133">
        <f>I72</f>
        <v>0</v>
      </c>
      <c r="I73" s="131"/>
      <c r="J73" s="131"/>
      <c r="K73" s="112"/>
      <c r="L73" s="115">
        <f>IF(C73&gt;D73,1,0)+IF(E73&gt;F73,1,0)+IF(G73&gt;H73,1,0)+IF(I73&gt;J73,1,0)</f>
        <v>0</v>
      </c>
      <c r="M73" s="114">
        <f>IF(C73&lt;D73,1,0)+IF(E73&lt;F73,1,0)+IF(G73&lt;H73,1,0)+IF(I73&lt;J73,1,0)</f>
        <v>0</v>
      </c>
    </row>
    <row r="74" spans="1:15" outlineLevel="1">
      <c r="A74" s="116"/>
      <c r="B74" s="111"/>
      <c r="C74" s="111"/>
      <c r="D74" s="111"/>
      <c r="E74" s="111"/>
      <c r="F74" s="111"/>
      <c r="G74" s="128"/>
      <c r="H74" s="128"/>
      <c r="I74" s="128"/>
      <c r="J74" s="128"/>
      <c r="K74" s="144"/>
      <c r="L74" s="144"/>
      <c r="M74" s="128"/>
      <c r="N74" s="128"/>
    </row>
    <row r="75" spans="1:15" outlineLevel="1">
      <c r="A75" s="111"/>
      <c r="B75" s="134" t="s">
        <v>169</v>
      </c>
      <c r="C75" s="135" t="s">
        <v>170</v>
      </c>
      <c r="D75" s="135" t="s">
        <v>171</v>
      </c>
      <c r="E75" s="129" t="s">
        <v>172</v>
      </c>
      <c r="F75" s="136" t="s">
        <v>173</v>
      </c>
      <c r="G75" s="128"/>
      <c r="H75" s="128"/>
      <c r="I75" s="180" t="s">
        <v>207</v>
      </c>
      <c r="J75" s="180"/>
      <c r="K75" s="144"/>
      <c r="L75" s="144"/>
      <c r="M75" s="128"/>
      <c r="N75" s="128"/>
    </row>
    <row r="76" spans="1:15" outlineLevel="1">
      <c r="A76" s="142" t="str">
        <f>A70</f>
        <v>2e Aller</v>
      </c>
      <c r="B76" s="137">
        <f>IF(B70="A",0, IF(B70="F", (L70*2+M70*1),(L70*3+M70*2)))</f>
        <v>0</v>
      </c>
      <c r="C76" s="138">
        <f t="shared" ref="C76:D79" si="10">C70+E70+G70+I70</f>
        <v>0</v>
      </c>
      <c r="D76" s="138">
        <f t="shared" si="10"/>
        <v>0</v>
      </c>
      <c r="E76" s="139">
        <f>C76-D76</f>
        <v>0</v>
      </c>
      <c r="F76" s="136">
        <f>RANK(G76,G$76:G$79)</f>
        <v>1</v>
      </c>
      <c r="G76" s="145">
        <f>B76+E76/1000</f>
        <v>0</v>
      </c>
      <c r="H76" s="146">
        <v>1</v>
      </c>
      <c r="I76" s="182" t="str">
        <f>IF($A$2="calcul",VLOOKUP(H76,$F$76:$K$79,6,FALSE),"1er B")</f>
        <v>1er B</v>
      </c>
      <c r="J76" s="182"/>
      <c r="K76" s="147" t="str">
        <f>A76</f>
        <v>2e Aller</v>
      </c>
      <c r="L76" s="144"/>
      <c r="M76" s="128"/>
      <c r="N76" s="128"/>
    </row>
    <row r="77" spans="1:15" outlineLevel="1">
      <c r="A77" s="142" t="str">
        <f>A71</f>
        <v>3e Aller</v>
      </c>
      <c r="B77" s="137">
        <f>IF(B71="A",0, IF(B71="F", (L71*2+M71*1),(L71*3+M71*2)))</f>
        <v>0</v>
      </c>
      <c r="C77" s="138">
        <f t="shared" si="10"/>
        <v>0</v>
      </c>
      <c r="D77" s="138">
        <f t="shared" si="10"/>
        <v>0</v>
      </c>
      <c r="E77" s="139">
        <f>C77-D77</f>
        <v>0</v>
      </c>
      <c r="F77" s="136">
        <f>RANK(G77,G$76:G$79)</f>
        <v>1</v>
      </c>
      <c r="G77" s="145">
        <f>B77+E77/1000</f>
        <v>0</v>
      </c>
      <c r="H77" s="146">
        <v>2</v>
      </c>
      <c r="I77" s="182" t="str">
        <f>IF($A$2="calcul",VLOOKUP(H77,$F$76:$K$79,6,FALSE),"2e B")</f>
        <v>2e B</v>
      </c>
      <c r="J77" s="182"/>
      <c r="K77" s="147" t="str">
        <f>A77</f>
        <v>3e Aller</v>
      </c>
      <c r="L77" s="144"/>
      <c r="M77" s="128"/>
      <c r="N77" s="128"/>
    </row>
    <row r="78" spans="1:15" outlineLevel="1">
      <c r="A78" s="142" t="str">
        <f>A72</f>
        <v>6e Aller</v>
      </c>
      <c r="B78" s="137">
        <f>IF(B72="A",0, IF(B72="F", (L72*2+M72*1),(L72*3+M72*2)))</f>
        <v>0</v>
      </c>
      <c r="C78" s="138">
        <f t="shared" si="10"/>
        <v>0</v>
      </c>
      <c r="D78" s="138">
        <f t="shared" si="10"/>
        <v>0</v>
      </c>
      <c r="E78" s="139">
        <f>C78-D78</f>
        <v>0</v>
      </c>
      <c r="F78" s="136">
        <f>RANK(G78,G$76:G$79)</f>
        <v>1</v>
      </c>
      <c r="G78" s="145">
        <f>B78+E78/1000</f>
        <v>0</v>
      </c>
      <c r="H78" s="146">
        <v>3</v>
      </c>
      <c r="I78" s="182" t="str">
        <f>IF($A$2="calcul",VLOOKUP(H78,$F$76:$K$79,6,FALSE),"3e B")</f>
        <v>3e B</v>
      </c>
      <c r="J78" s="182"/>
      <c r="K78" s="147" t="str">
        <f>A78</f>
        <v>6e Aller</v>
      </c>
      <c r="L78" s="144"/>
      <c r="M78" s="128"/>
      <c r="N78" s="128"/>
    </row>
    <row r="79" spans="1:15" outlineLevel="1">
      <c r="A79" s="142" t="str">
        <f>A73</f>
        <v>7e Aller</v>
      </c>
      <c r="B79" s="137">
        <f>IF(B73="A",0, IF(B73="F", (L73*2+M73*1),(L73*3+M73*2)))</f>
        <v>0</v>
      </c>
      <c r="C79" s="138">
        <f t="shared" si="10"/>
        <v>0</v>
      </c>
      <c r="D79" s="138">
        <f t="shared" si="10"/>
        <v>0</v>
      </c>
      <c r="E79" s="139">
        <f>C79-D79</f>
        <v>0</v>
      </c>
      <c r="F79" s="136">
        <f>RANK(G79,G$76:G$79)</f>
        <v>1</v>
      </c>
      <c r="G79" s="145">
        <f>B79+E79/1000</f>
        <v>0</v>
      </c>
      <c r="H79" s="146">
        <v>4</v>
      </c>
      <c r="I79" s="182" t="str">
        <f>IF($A$2="calcul",VLOOKUP(H79,$F$76:$K$79,6,FALSE),"4e B")</f>
        <v>4e B</v>
      </c>
      <c r="J79" s="182"/>
      <c r="K79" s="147" t="str">
        <f>A79</f>
        <v>7e Aller</v>
      </c>
      <c r="L79" s="144"/>
      <c r="M79" s="128"/>
      <c r="N79" s="128"/>
    </row>
    <row r="80" spans="1:15" outlineLevel="1">
      <c r="A80" s="111"/>
      <c r="B80" s="111"/>
      <c r="C80" s="117">
        <f>SUM(C76:C79)</f>
        <v>0</v>
      </c>
      <c r="D80" s="117">
        <f>SUM(D76:D79)</f>
        <v>0</v>
      </c>
      <c r="E80" s="111"/>
      <c r="F80" s="111"/>
      <c r="G80" s="128"/>
      <c r="H80" s="128"/>
      <c r="I80" s="128"/>
      <c r="J80" s="128"/>
      <c r="K80" s="144"/>
      <c r="L80" s="144"/>
      <c r="M80" s="128"/>
      <c r="N80" s="128"/>
    </row>
    <row r="81" spans="1:16">
      <c r="A81" s="108" t="s">
        <v>415</v>
      </c>
      <c r="B81" s="121"/>
      <c r="C81" s="124"/>
      <c r="D81" s="124"/>
      <c r="E81" s="121"/>
      <c r="F81" s="121"/>
      <c r="G81" s="121"/>
      <c r="H81" s="121"/>
      <c r="I81" s="121"/>
      <c r="J81" s="121"/>
      <c r="K81" s="121"/>
      <c r="L81" s="121"/>
      <c r="M81" s="121"/>
      <c r="N81" s="128"/>
    </row>
    <row r="82" spans="1:16" outlineLevel="1">
      <c r="A82" s="184" t="s">
        <v>407</v>
      </c>
      <c r="B82" s="183" t="s">
        <v>408</v>
      </c>
      <c r="C82" s="183"/>
      <c r="D82" s="183" t="s">
        <v>409</v>
      </c>
      <c r="E82" s="183"/>
      <c r="F82" s="185"/>
      <c r="G82" s="185"/>
      <c r="H82" s="185"/>
      <c r="I82" s="185"/>
      <c r="J82" s="121"/>
      <c r="K82" s="125"/>
      <c r="L82" s="125"/>
      <c r="M82" s="125"/>
    </row>
    <row r="83" spans="1:16" outlineLevel="1">
      <c r="A83" s="184"/>
      <c r="B83" s="140" t="str">
        <f>I64</f>
        <v>2e A</v>
      </c>
      <c r="C83" s="140" t="str">
        <f>I78</f>
        <v>3e B</v>
      </c>
      <c r="D83" s="140" t="str">
        <f>I77</f>
        <v>2e B</v>
      </c>
      <c r="E83" s="140" t="str">
        <f>I65</f>
        <v>3e A</v>
      </c>
      <c r="F83" s="185"/>
      <c r="G83" s="185"/>
      <c r="H83" s="185"/>
      <c r="I83" s="185"/>
      <c r="J83" s="121"/>
      <c r="K83" s="125"/>
      <c r="L83" s="125"/>
      <c r="M83" s="125"/>
    </row>
    <row r="84" spans="1:16" outlineLevel="1">
      <c r="A84" s="184"/>
      <c r="B84" s="143"/>
      <c r="C84" s="143"/>
      <c r="D84" s="143"/>
      <c r="E84" s="143"/>
      <c r="F84" s="185"/>
      <c r="G84" s="185"/>
      <c r="H84" s="185"/>
      <c r="I84" s="185"/>
      <c r="J84" s="121"/>
      <c r="K84" s="125"/>
      <c r="L84" s="125"/>
      <c r="M84" s="125"/>
    </row>
    <row r="85" spans="1:16" outlineLevel="1">
      <c r="A85" s="184" t="s">
        <v>175</v>
      </c>
      <c r="B85" s="183" t="s">
        <v>410</v>
      </c>
      <c r="C85" s="183"/>
      <c r="D85" s="183" t="s">
        <v>411</v>
      </c>
      <c r="E85" s="183"/>
      <c r="F85" s="183" t="s">
        <v>412</v>
      </c>
      <c r="G85" s="183"/>
      <c r="H85" s="183" t="s">
        <v>413</v>
      </c>
      <c r="I85" s="183"/>
      <c r="J85" s="121"/>
      <c r="K85" s="121"/>
      <c r="L85" s="121"/>
      <c r="M85" s="121"/>
    </row>
    <row r="86" spans="1:16" outlineLevel="1">
      <c r="A86" s="184"/>
      <c r="B86" s="140" t="str">
        <f>I63</f>
        <v>1er A</v>
      </c>
      <c r="C86" s="130" t="str">
        <f>IF($A$1="","Vainqueur C-O 2",IF(D84&gt;E84,D83,E83))</f>
        <v>Vainqueur C-O 2</v>
      </c>
      <c r="D86" s="130" t="str">
        <f>IF($A$1="","Vainqueur C-O 1",IF(B84&gt;C84,B83,C83))</f>
        <v>Vainqueur C-O 1</v>
      </c>
      <c r="E86" s="140" t="str">
        <f>I76</f>
        <v>1er B</v>
      </c>
      <c r="F86" s="140" t="str">
        <f>I79</f>
        <v>4e B</v>
      </c>
      <c r="G86" s="130" t="str">
        <f>IF($A$1="","Perdant C-O 2",IF(D84&lt;E84,D83,E83))</f>
        <v>Perdant C-O 2</v>
      </c>
      <c r="H86" s="130" t="str">
        <f>IF($A$1="","Perdant C-O 1",IF(B84&lt;C84,B83,C83))</f>
        <v>Perdant C-O 1</v>
      </c>
      <c r="I86" s="140" t="str">
        <f>I66</f>
        <v>4e A</v>
      </c>
      <c r="J86" s="126"/>
      <c r="K86" s="121"/>
      <c r="L86" s="121"/>
      <c r="M86" s="121"/>
    </row>
    <row r="87" spans="1:16" outlineLevel="1">
      <c r="A87" s="184"/>
      <c r="B87" s="143"/>
      <c r="C87" s="143"/>
      <c r="D87" s="143"/>
      <c r="E87" s="143"/>
      <c r="F87" s="130"/>
      <c r="G87" s="130"/>
      <c r="H87" s="143"/>
      <c r="I87" s="143"/>
      <c r="J87" s="127"/>
      <c r="K87" s="121"/>
      <c r="L87" s="121"/>
      <c r="M87" s="121"/>
    </row>
    <row r="88" spans="1:16" outlineLevel="1">
      <c r="A88" s="184" t="s">
        <v>174</v>
      </c>
      <c r="B88" s="183" t="s">
        <v>177</v>
      </c>
      <c r="C88" s="183"/>
      <c r="D88" s="183" t="s">
        <v>178</v>
      </c>
      <c r="E88" s="183"/>
      <c r="F88" s="183" t="s">
        <v>179</v>
      </c>
      <c r="G88" s="183"/>
      <c r="H88" s="183"/>
      <c r="I88" s="183"/>
      <c r="J88" s="121"/>
      <c r="K88" s="121"/>
      <c r="L88" s="121"/>
      <c r="M88" s="121"/>
    </row>
    <row r="89" spans="1:16" outlineLevel="1">
      <c r="A89" s="184"/>
      <c r="B89" s="130" t="str">
        <f>IF($A$1="","Perdant 1/2 1",IF(B87&lt;C87,B86,C86))</f>
        <v>Perdant 1/2 1</v>
      </c>
      <c r="C89" s="130" t="str">
        <f>IF($A$1="","Perdant 1/2 2",IF(D87&lt;E87,D86,E86))</f>
        <v>Perdant 1/2 2</v>
      </c>
      <c r="D89" s="130" t="str">
        <f>IF($A$1="","Vainqueur 1/2 3",IF(F87&gt;G87,F86,G86))</f>
        <v>Vainqueur 1/2 3</v>
      </c>
      <c r="E89" s="130" t="str">
        <f>IF($A$1="","Vainqueur 1/2 4",IF(H87&gt;I87,H86,I86))</f>
        <v>Vainqueur 1/2 4</v>
      </c>
      <c r="F89" s="130" t="str">
        <f>IF($A$1="","Perdant 1/2 3",IF(F87&lt;G87,F86,G86))</f>
        <v>Perdant 1/2 3</v>
      </c>
      <c r="G89" s="130" t="str">
        <f>IF($A$1="","Perdant 1/2 4",IF(H87&lt;I87,H86,I86))</f>
        <v>Perdant 1/2 4</v>
      </c>
      <c r="H89" s="183"/>
      <c r="I89" s="183"/>
      <c r="J89" s="121"/>
      <c r="K89" s="121"/>
      <c r="L89" s="121"/>
      <c r="M89" s="121"/>
    </row>
    <row r="90" spans="1:16" outlineLevel="1">
      <c r="A90" s="184"/>
      <c r="B90" s="143"/>
      <c r="C90" s="143"/>
      <c r="D90" s="143"/>
      <c r="E90" s="143"/>
      <c r="F90" s="143"/>
      <c r="G90" s="143"/>
      <c r="H90" s="183"/>
      <c r="I90" s="183"/>
      <c r="J90" s="121"/>
      <c r="K90" s="125"/>
      <c r="L90" s="125"/>
      <c r="M90" s="125"/>
    </row>
    <row r="91" spans="1:16" outlineLevel="1">
      <c r="A91" s="184"/>
      <c r="B91" s="183" t="s">
        <v>176</v>
      </c>
      <c r="C91" s="183"/>
      <c r="D91" s="186"/>
      <c r="E91" s="186"/>
      <c r="F91" s="186"/>
      <c r="G91" s="186"/>
      <c r="H91" s="186"/>
      <c r="I91" s="186"/>
      <c r="J91" s="121"/>
      <c r="K91" s="122"/>
      <c r="L91" s="122"/>
      <c r="M91" s="123"/>
    </row>
    <row r="92" spans="1:16" outlineLevel="1">
      <c r="A92" s="184"/>
      <c r="B92" s="130" t="str">
        <f>IF($A$1="","Vainqueur 1/2 1",IF(B87&gt;C87,B86,C86))</f>
        <v>Vainqueur 1/2 1</v>
      </c>
      <c r="C92" s="130" t="str">
        <f>IF($A$1="","Vainqueur 1/2 2",IF(D87&gt;E87,D86,E86))</f>
        <v>Vainqueur 1/2 2</v>
      </c>
      <c r="D92" s="186"/>
      <c r="E92" s="186"/>
      <c r="F92" s="186"/>
      <c r="G92" s="186"/>
      <c r="H92" s="186"/>
      <c r="I92" s="186"/>
      <c r="J92" s="121"/>
      <c r="K92" s="122"/>
      <c r="L92" s="122"/>
      <c r="M92" s="123"/>
    </row>
    <row r="93" spans="1:16" outlineLevel="1">
      <c r="A93" s="184"/>
      <c r="B93" s="143"/>
      <c r="C93" s="143"/>
      <c r="D93" s="186"/>
      <c r="E93" s="186"/>
      <c r="F93" s="186"/>
      <c r="G93" s="186"/>
      <c r="H93" s="186"/>
      <c r="I93" s="186"/>
      <c r="J93" s="121"/>
      <c r="K93" s="122"/>
      <c r="L93" s="122"/>
      <c r="M93" s="123"/>
    </row>
    <row r="94" spans="1:16" outlineLevel="1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8"/>
      <c r="O94" s="128"/>
      <c r="P94" s="128"/>
    </row>
    <row r="95" spans="1:16" outlineLevel="1">
      <c r="B95" s="128"/>
      <c r="C95" s="180" t="s">
        <v>415</v>
      </c>
      <c r="D95" s="180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outlineLevel="1">
      <c r="B96" s="130">
        <v>1</v>
      </c>
      <c r="C96" s="182" t="str">
        <f>IF($A$1="calcul",IF(B93&gt;C93,B92,C92),"1er Retour")</f>
        <v>1er Retour</v>
      </c>
      <c r="D96" s="182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</row>
    <row r="97" spans="2:16" outlineLevel="1">
      <c r="B97" s="130">
        <v>2</v>
      </c>
      <c r="C97" s="182" t="str">
        <f>IF($A$1="calcul",IF(B93&lt;C93,B92,C92),"2e Retour")</f>
        <v>2e Retour</v>
      </c>
      <c r="D97" s="182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</row>
    <row r="98" spans="2:16" outlineLevel="1">
      <c r="B98" s="130">
        <v>3</v>
      </c>
      <c r="C98" s="182" t="str">
        <f>IF($A$1="calcul",IF(B90&gt;C90,B89,C89),"3e Retour")</f>
        <v>3e Retour</v>
      </c>
      <c r="D98" s="182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</row>
    <row r="99" spans="2:16" outlineLevel="1">
      <c r="B99" s="130">
        <v>4</v>
      </c>
      <c r="C99" s="182" t="str">
        <f>IF($A$1="calcul",IF(B90&lt;C90,B89,C89),"4e Retour")</f>
        <v>4e Retour</v>
      </c>
      <c r="D99" s="182"/>
      <c r="E99" s="121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</row>
    <row r="100" spans="2:16" outlineLevel="1">
      <c r="B100" s="130">
        <v>5</v>
      </c>
      <c r="C100" s="182" t="str">
        <f>IF($A$1="calcul",IF(D90&gt;E90,D89,E89),"5e Retour")</f>
        <v>5e Retour</v>
      </c>
      <c r="D100" s="182"/>
      <c r="E100" s="121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</row>
    <row r="101" spans="2:16" outlineLevel="1">
      <c r="B101" s="130">
        <v>6</v>
      </c>
      <c r="C101" s="182" t="str">
        <f>IF($A$1="calcul",IF(D90&lt;E90,D89,E89),"6e Retour")</f>
        <v>6e Retour</v>
      </c>
      <c r="D101" s="182"/>
      <c r="E101" s="121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</row>
    <row r="102" spans="2:16" outlineLevel="1">
      <c r="B102" s="130">
        <v>7</v>
      </c>
      <c r="C102" s="182" t="str">
        <f>IF($A$1="calcul",IF(F90&gt;G90,F89,G89),"7e Retour")</f>
        <v>7e Retour</v>
      </c>
      <c r="D102" s="182"/>
      <c r="E102" s="121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</row>
    <row r="103" spans="2:16" outlineLevel="1">
      <c r="B103" s="130">
        <v>8</v>
      </c>
      <c r="C103" s="182" t="str">
        <f>IF($A$1="calcul",IF(F90&lt;G90,F89,G89),"8e Retour")</f>
        <v>8e Retour</v>
      </c>
      <c r="D103" s="182"/>
      <c r="E103" s="121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</row>
    <row r="104" spans="2:16" outlineLevel="1"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2:16"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</row>
    <row r="106" spans="2:16"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</row>
    <row r="107" spans="2:16"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</row>
    <row r="108" spans="2:16"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</sheetData>
  <mergeCells count="88">
    <mergeCell ref="I79:J79"/>
    <mergeCell ref="A82:A84"/>
    <mergeCell ref="B82:C82"/>
    <mergeCell ref="D82:E82"/>
    <mergeCell ref="F82:I84"/>
    <mergeCell ref="I63:J63"/>
    <mergeCell ref="I64:J64"/>
    <mergeCell ref="I66:J66"/>
    <mergeCell ref="C69:D69"/>
    <mergeCell ref="E69:F69"/>
    <mergeCell ref="G69:H69"/>
    <mergeCell ref="A85:A87"/>
    <mergeCell ref="B85:C85"/>
    <mergeCell ref="D85:E85"/>
    <mergeCell ref="F85:G85"/>
    <mergeCell ref="H85:I85"/>
    <mergeCell ref="A88:A93"/>
    <mergeCell ref="B88:C88"/>
    <mergeCell ref="D88:E88"/>
    <mergeCell ref="F88:G88"/>
    <mergeCell ref="H88:I90"/>
    <mergeCell ref="C103:D103"/>
    <mergeCell ref="C95:D95"/>
    <mergeCell ref="C96:D96"/>
    <mergeCell ref="C97:D97"/>
    <mergeCell ref="B91:C91"/>
    <mergeCell ref="D91:I93"/>
    <mergeCell ref="C98:D98"/>
    <mergeCell ref="C99:D99"/>
    <mergeCell ref="C100:D100"/>
    <mergeCell ref="C101:D101"/>
    <mergeCell ref="C102:D102"/>
    <mergeCell ref="I75:J75"/>
    <mergeCell ref="I76:J76"/>
    <mergeCell ref="I77:J77"/>
    <mergeCell ref="I78:J78"/>
    <mergeCell ref="I65:J65"/>
    <mergeCell ref="I69:J69"/>
    <mergeCell ref="I62:J62"/>
    <mergeCell ref="C48:D48"/>
    <mergeCell ref="C49:D49"/>
    <mergeCell ref="C50:D50"/>
    <mergeCell ref="C51:D51"/>
    <mergeCell ref="C52:D52"/>
    <mergeCell ref="C56:D56"/>
    <mergeCell ref="E56:F56"/>
    <mergeCell ref="G56:H56"/>
    <mergeCell ref="I56:J56"/>
    <mergeCell ref="A54:M54"/>
    <mergeCell ref="A31:A33"/>
    <mergeCell ref="B31:C31"/>
    <mergeCell ref="D31:E31"/>
    <mergeCell ref="F31:I33"/>
    <mergeCell ref="C47:D47"/>
    <mergeCell ref="A34:A36"/>
    <mergeCell ref="B34:C34"/>
    <mergeCell ref="D34:E34"/>
    <mergeCell ref="F34:G34"/>
    <mergeCell ref="B40:C40"/>
    <mergeCell ref="D40:I42"/>
    <mergeCell ref="C44:D44"/>
    <mergeCell ref="C45:D45"/>
    <mergeCell ref="C46:D46"/>
    <mergeCell ref="H34:I34"/>
    <mergeCell ref="A37:A42"/>
    <mergeCell ref="B37:C37"/>
    <mergeCell ref="D37:E37"/>
    <mergeCell ref="F37:G37"/>
    <mergeCell ref="H37:I39"/>
    <mergeCell ref="C18:D18"/>
    <mergeCell ref="E18:F18"/>
    <mergeCell ref="G18:H18"/>
    <mergeCell ref="I18:J18"/>
    <mergeCell ref="I28:J28"/>
    <mergeCell ref="I24:J24"/>
    <mergeCell ref="I25:J25"/>
    <mergeCell ref="I26:J26"/>
    <mergeCell ref="I27:J27"/>
    <mergeCell ref="I11:J11"/>
    <mergeCell ref="I12:J12"/>
    <mergeCell ref="I13:J13"/>
    <mergeCell ref="I14:J14"/>
    <mergeCell ref="I15:J15"/>
    <mergeCell ref="C5:D5"/>
    <mergeCell ref="E5:F5"/>
    <mergeCell ref="G5:H5"/>
    <mergeCell ref="I5:J5"/>
    <mergeCell ref="A3:M3"/>
  </mergeCells>
  <dataValidations count="2">
    <dataValidation type="list" allowBlank="1" showInputMessage="1" showErrorMessage="1" sqref="B17 B6:B9 B19:B22 B68 B57:B60 B70:B73">
      <formula1>"A,F"</formula1>
    </dataValidation>
    <dataValidation type="list" allowBlank="1" showInputMessage="1" showErrorMessage="1" sqref="A1:A2">
      <formula1>"calcul"</formula1>
    </dataValidation>
  </dataValidations>
  <printOptions horizontalCentered="1" verticalCentered="1"/>
  <pageMargins left="0" right="0" top="0" bottom="0" header="0" footer="0"/>
  <pageSetup paperSize="9" scale="98" orientation="landscape" r:id="rId1"/>
  <headerFooter scaleWithDoc="0">
    <oddHeader>&amp;C&amp;G</oddHeader>
    <oddFooter>&amp;L&amp;"Open Sans,Normal"&amp;8© 2017 - Ligue Flying Disc&amp;R&amp;"Open Sans,Normal"&amp;8&amp;D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club-ville</vt:lpstr>
      <vt:lpstr>Planning à 5</vt:lpstr>
      <vt:lpstr>Résultats à 5</vt:lpstr>
      <vt:lpstr>Planning à 6</vt:lpstr>
      <vt:lpstr>Résultats à 6</vt:lpstr>
      <vt:lpstr>Planning à 7</vt:lpstr>
      <vt:lpstr>Résultats à 7</vt:lpstr>
      <vt:lpstr>Planning à 4+4</vt:lpstr>
      <vt:lpstr>Résultats à 4+4</vt:lpstr>
      <vt:lpstr>Planning à 8</vt:lpstr>
      <vt:lpstr>Résultats à 8</vt:lpstr>
      <vt:lpstr>'Planning à 4+4'!Zone_d_impression</vt:lpstr>
      <vt:lpstr>'Planning à 5'!Zone_d_impression</vt:lpstr>
      <vt:lpstr>'Planning à 6'!Zone_d_impression</vt:lpstr>
      <vt:lpstr>'Planning à 7'!Zone_d_impression</vt:lpstr>
      <vt:lpstr>'Planning à 8'!Zone_d_impression</vt:lpstr>
      <vt:lpstr>'Résultats à 4+4'!Zone_d_impression</vt:lpstr>
      <vt:lpstr>'Résultats à 5'!Zone_d_impression</vt:lpstr>
      <vt:lpstr>'Résultats à 6'!Zone_d_impression</vt:lpstr>
      <vt:lpstr>'Résultats à 7'!Zone_d_impression</vt:lpstr>
      <vt:lpstr>'Résultats à 8'!Zone_d_impression</vt:lpstr>
    </vt:vector>
  </TitlesOfParts>
  <Company>European Aeronautic Defense and Space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FFDF</dc:creator>
  <cp:lastModifiedBy>FFDF</cp:lastModifiedBy>
  <cp:lastPrinted>2017-10-24T11:02:55Z</cp:lastPrinted>
  <dcterms:created xsi:type="dcterms:W3CDTF">2005-09-27T13:15:19Z</dcterms:created>
  <dcterms:modified xsi:type="dcterms:W3CDTF">2017-10-24T13:49:51Z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789187703</vt:i4>
  </property>
  <property fmtid="{D5CDD505-2E9C-101B-9397-08002B2CF9AE}" pid="3" name="_EmailSubject">
    <vt:lpwstr>Retour Division R MED</vt:lpwstr>
  </property>
  <property fmtid="{D5CDD505-2E9C-101B-9397-08002B2CF9AE}" pid="4" name="_AuthorEmail">
    <vt:lpwstr>ffdf@free.fr</vt:lpwstr>
  </property>
  <property fmtid="{D5CDD505-2E9C-101B-9397-08002B2CF9AE}" pid="5" name="_AuthorEmailDisplayName">
    <vt:lpwstr>Fédération Flying Disc France</vt:lpwstr>
  </property>
  <property fmtid="{D5CDD505-2E9C-101B-9397-08002B2CF9AE}" pid="6" name="_PreviousAdHocReviewCycleID">
    <vt:i4>789187703</vt:i4>
  </property>
  <property fmtid="{D5CDD505-2E9C-101B-9397-08002B2CF9AE}" pid="7" name="_ReviewingToolsShownOnce">
    <vt:lpwstr/>
  </property>
</Properties>
</file>